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<sst xmlns="http://schemas.openxmlformats.org/spreadsheetml/2006/main" count="172" uniqueCount="123">
  <si>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</si>
  <si>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</si>
  <si>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</si>
  <si>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</si>
  <si>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</si>
  <si>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</si>
  <si>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</si>
  <si>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</si>
  <si>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</si>
  <si>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</si>
  <si>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</si>
  <si>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</si>
  <si>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</si>
  <si>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</si>
  <si>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</si>
  <si>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</si>
  <si>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</si>
  <si>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</si>
  <si>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</si>
  <si>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</si>
  <si>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</si>
  <si>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</si>
  <si>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</si>
  <si>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</si>
  <si>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</si>
  <si>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</si>
  <si>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</si>
  <si>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</si>
  <si>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</si>
  <si>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</si>
  <si>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</si>
  <si>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</si>
  <si>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</si>
  <si>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</si>
  <si>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</si>
  <si>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</si>
  <si>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</si>
  <si>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</si>
  <si>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</si>
  <si>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</si>
  <si>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</si>
  <si>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</si>
  <si>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</si>
  <si>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</si>
  <si>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</si>
  <si>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</si>
  <si>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</si>
  <si>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</si>
  <si>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</si>
  <si>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</si>
  <si>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</si>
  <si>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</si>
  <si>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</si>
  <si>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</si>
  <si>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</si>
  <si>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</si>
  <si>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</si>
  <si>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</si>
  <si>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</si>
  <si>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</si>
  <si>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</si>
  <si>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</si>
  <si>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</si>
  <si>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</si>
  <si>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</si>
  <si>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</si>
  <si>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</si>
  <si>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</si>
  <si>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</si>
  <si>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</si>
  <si>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</si>
  <si>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</si>
  <si>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</si>
  <si>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</si>
  <si>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</si>
  <si>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</si>
  <si>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</si>
  <si>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</si>
  <si>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</si>
  <si>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</si>
  <si>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</si>
  <si>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</si>
  <si>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</si>
  <si>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</si>
  <si>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</si>
  <si>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</si>
  <si>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</si>
  <si>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</si>
  <si>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</si>
  <si>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</si>
  <si>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</si>
  <si>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</si>
  <si>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</si>
  <si>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</si>
  <si>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</si>
  <si>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</si>
  <si>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</si>
  <si>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</si>
  <si>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</si>
  <si>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</si>
  <si>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</si>
  <si>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</si>
  <si>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</si>
  <si>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</si>
  <si>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</si>
  <si>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</si>
  <si>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</si>
  <si>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</si>
  <si>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</si>
  <si>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</si>
  <si>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</si>
  <si>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</si>
  <si>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</si>
  <si>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</si>
  <si>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</si>
  <si>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</si>
  <si>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</si>
  <si>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</si>
  <si>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</si>
  <si>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Аналіз використання коштів міського бюджету за 2016 рік станом на 01.09.2016 року</t>
  </si>
  <si>
    <t>План на 9 місяців, тис.грн.</t>
  </si>
  <si>
    <t>Відсоток виконання плану 9 місяців</t>
  </si>
  <si>
    <t>Відхилення від плану 9 місяців, тис.грн.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</si>
</sst>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35048.2</c:v>
                </c:pt>
                <c:pt idx="1">
                  <c:v>29935.000000000004</c:v>
                </c:pt>
                <c:pt idx="2">
                  <c:v>1060.8999999999999</c:v>
                </c:pt>
                <c:pt idx="3">
                  <c:v>4052.299999999994</c:v>
                </c:pt>
              </c:numCache>
            </c:numRef>
          </c:val>
          <c:shape val="box"/>
        </c:ser>
        <c:shape val="box"/>
        <c:axId val="12655749"/>
        <c:axId val="46792878"/>
      </c:bar3DChart>
      <c:catAx>
        <c:axId val="12655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92878"/>
        <c:crosses val="autoZero"/>
        <c:auto val="1"/>
        <c:lblOffset val="100"/>
        <c:tickLblSkip val="1"/>
        <c:noMultiLvlLbl val="0"/>
      </c:catAx>
      <c:valAx>
        <c:axId val="46792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55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254067.70000000004</c:v>
                </c:pt>
                <c:pt idx="1">
                  <c:v>111794.59999999999</c:v>
                </c:pt>
                <c:pt idx="2">
                  <c:v>192584.39999999994</c:v>
                </c:pt>
                <c:pt idx="3">
                  <c:v>35.99999999999999</c:v>
                </c:pt>
                <c:pt idx="4">
                  <c:v>14660.000000000007</c:v>
                </c:pt>
                <c:pt idx="5">
                  <c:v>31406.899999999998</c:v>
                </c:pt>
                <c:pt idx="6">
                  <c:v>7628.600000000001</c:v>
                </c:pt>
                <c:pt idx="7">
                  <c:v>7751.800000000098</c:v>
                </c:pt>
              </c:numCache>
            </c:numRef>
          </c:val>
          <c:shape val="box"/>
        </c:ser>
        <c:shape val="box"/>
        <c:axId val="18482719"/>
        <c:axId val="32126744"/>
      </c:bar3DChart>
      <c:catAx>
        <c:axId val="18482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26744"/>
        <c:crosses val="autoZero"/>
        <c:auto val="1"/>
        <c:lblOffset val="100"/>
        <c:tickLblSkip val="1"/>
        <c:noMultiLvlLbl val="0"/>
      </c:catAx>
      <c:valAx>
        <c:axId val="32126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82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151323.2</c:v>
                </c:pt>
                <c:pt idx="1">
                  <c:v>112504.4</c:v>
                </c:pt>
                <c:pt idx="2">
                  <c:v>117695.8</c:v>
                </c:pt>
                <c:pt idx="3">
                  <c:v>13031.000000000002</c:v>
                </c:pt>
                <c:pt idx="4">
                  <c:v>2275.4</c:v>
                </c:pt>
                <c:pt idx="5">
                  <c:v>13922.5</c:v>
                </c:pt>
                <c:pt idx="6">
                  <c:v>895.6999999999999</c:v>
                </c:pt>
                <c:pt idx="7">
                  <c:v>3502.8000000000075</c:v>
                </c:pt>
              </c:numCache>
            </c:numRef>
          </c:val>
          <c:shape val="box"/>
        </c:ser>
        <c:shape val="box"/>
        <c:axId val="20705241"/>
        <c:axId val="52129442"/>
      </c:bar3DChart>
      <c:catAx>
        <c:axId val="20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29442"/>
        <c:crosses val="autoZero"/>
        <c:auto val="1"/>
        <c:lblOffset val="100"/>
        <c:tickLblSkip val="1"/>
        <c:noMultiLvlLbl val="0"/>
      </c:catAx>
      <c:valAx>
        <c:axId val="52129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05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29872.899999999998</c:v>
                </c:pt>
                <c:pt idx="1">
                  <c:v>21934.299999999992</c:v>
                </c:pt>
                <c:pt idx="2">
                  <c:v>1256.4999999999995</c:v>
                </c:pt>
                <c:pt idx="3">
                  <c:v>331.90000000000015</c:v>
                </c:pt>
                <c:pt idx="4">
                  <c:v>25.5</c:v>
                </c:pt>
                <c:pt idx="5">
                  <c:v>6324.700000000005</c:v>
                </c:pt>
              </c:numCache>
            </c:numRef>
          </c:val>
          <c:shape val="box"/>
        </c:ser>
        <c:shape val="box"/>
        <c:axId val="66511795"/>
        <c:axId val="61735244"/>
      </c:bar3DChart>
      <c:catAx>
        <c:axId val="66511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35244"/>
        <c:crosses val="autoZero"/>
        <c:auto val="1"/>
        <c:lblOffset val="100"/>
        <c:tickLblSkip val="1"/>
        <c:noMultiLvlLbl val="0"/>
      </c:catAx>
      <c:valAx>
        <c:axId val="61735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1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9092.899999999994</c:v>
                </c:pt>
                <c:pt idx="1">
                  <c:v>6090.299999999998</c:v>
                </c:pt>
                <c:pt idx="3">
                  <c:v>141.50000000000003</c:v>
                </c:pt>
                <c:pt idx="4">
                  <c:v>371.8</c:v>
                </c:pt>
                <c:pt idx="5">
                  <c:v>120</c:v>
                </c:pt>
                <c:pt idx="6">
                  <c:v>2369.2999999999956</c:v>
                </c:pt>
              </c:numCache>
            </c:numRef>
          </c:val>
          <c:shape val="box"/>
        </c:ser>
        <c:shape val="box"/>
        <c:axId val="18746285"/>
        <c:axId val="34498838"/>
      </c:bar3DChart>
      <c:catAx>
        <c:axId val="18746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98838"/>
        <c:crosses val="autoZero"/>
        <c:auto val="1"/>
        <c:lblOffset val="100"/>
        <c:tickLblSkip val="2"/>
        <c:noMultiLvlLbl val="0"/>
      </c:catAx>
      <c:valAx>
        <c:axId val="34498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46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1788.2999999999997</c:v>
                </c:pt>
                <c:pt idx="1">
                  <c:v>996.6</c:v>
                </c:pt>
                <c:pt idx="2">
                  <c:v>265.1</c:v>
                </c:pt>
                <c:pt idx="3">
                  <c:v>197.70000000000002</c:v>
                </c:pt>
                <c:pt idx="4">
                  <c:v>252</c:v>
                </c:pt>
                <c:pt idx="5">
                  <c:v>76.89999999999964</c:v>
                </c:pt>
              </c:numCache>
            </c:numRef>
          </c:val>
          <c:shape val="box"/>
        </c:ser>
        <c:shape val="box"/>
        <c:axId val="42054087"/>
        <c:axId val="42942464"/>
      </c:bar3DChart>
      <c:catAx>
        <c:axId val="4205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42464"/>
        <c:crosses val="autoZero"/>
        <c:auto val="1"/>
        <c:lblOffset val="100"/>
        <c:tickLblSkip val="1"/>
        <c:noMultiLvlLbl val="0"/>
      </c:catAx>
      <c:valAx>
        <c:axId val="42942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4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53415.6</c:v>
                </c:pt>
              </c:numCache>
            </c:numRef>
          </c:val>
          <c:shape val="box"/>
        </c:ser>
        <c:shape val="box"/>
        <c:axId val="50937857"/>
        <c:axId val="55787530"/>
      </c:bar3DChart>
      <c:catAx>
        <c:axId val="50937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787530"/>
        <c:crosses val="autoZero"/>
        <c:auto val="1"/>
        <c:lblOffset val="100"/>
        <c:tickLblSkip val="1"/>
        <c:noMultiLvlLbl val="0"/>
      </c:catAx>
      <c:valAx>
        <c:axId val="55787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7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254067.70000000004</c:v>
                </c:pt>
                <c:pt idx="1">
                  <c:v>151323.2</c:v>
                </c:pt>
                <c:pt idx="2">
                  <c:v>29872.899999999998</c:v>
                </c:pt>
                <c:pt idx="3">
                  <c:v>9092.899999999994</c:v>
                </c:pt>
                <c:pt idx="4">
                  <c:v>1788.2999999999997</c:v>
                </c:pt>
                <c:pt idx="5">
                  <c:v>35048.2</c:v>
                </c:pt>
                <c:pt idx="6">
                  <c:v>53415.6</c:v>
                </c:pt>
              </c:numCache>
            </c:numRef>
          </c:val>
          <c:shape val="box"/>
        </c:ser>
        <c:shape val="box"/>
        <c:axId val="32325723"/>
        <c:axId val="22496052"/>
      </c:bar3DChart>
      <c:catAx>
        <c:axId val="3232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96052"/>
        <c:crosses val="autoZero"/>
        <c:auto val="1"/>
        <c:lblOffset val="100"/>
        <c:tickLblSkip val="1"/>
        <c:noMultiLvlLbl val="0"/>
      </c:catAx>
      <c:valAx>
        <c:axId val="224960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25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689939.4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374050.8999999999</c:v>
                </c:pt>
                <c:pt idx="1">
                  <c:v>52589.8</c:v>
                </c:pt>
                <c:pt idx="2">
                  <c:v>17377.300000000007</c:v>
                </c:pt>
                <c:pt idx="3">
                  <c:v>13515.400000000001</c:v>
                </c:pt>
                <c:pt idx="4">
                  <c:v>13125.2</c:v>
                </c:pt>
                <c:pt idx="5">
                  <c:v>408756.2</c:v>
                </c:pt>
              </c:numCache>
            </c:numRef>
          </c:val>
          <c:shape val="box"/>
        </c:ser>
        <c:shape val="box"/>
        <c:axId val="1137877"/>
        <c:axId val="10240894"/>
      </c:bar3DChart>
      <c:catAx>
        <c:axId val="1137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40894"/>
        <c:crosses val="autoZero"/>
        <c:auto val="1"/>
        <c:lblOffset val="100"/>
        <c:tickLblSkip val="1"/>
        <c:noMultiLvlLbl val="0"/>
      </c:catAx>
      <c:valAx>
        <c:axId val="10240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7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119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120</v>
      </c>
      <c r="C3" s="135" t="s">
        <v>111</v>
      </c>
      <c r="D3" s="135" t="s">
        <v>28</v>
      </c>
      <c r="E3" s="135" t="s">
        <v>27</v>
      </c>
      <c r="F3" s="135" t="s">
        <v>121</v>
      </c>
      <c r="G3" s="135" t="s">
        <v>113</v>
      </c>
      <c r="H3" s="135" t="s">
        <v>122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324048.3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</f>
        <v>266448.2</v>
      </c>
      <c r="E6" s="3">
        <f>D6/D150*100</f>
        <v>27.676603789263748</v>
      </c>
      <c r="F6" s="3">
        <f>D6/B6*100</f>
        <v>82.2248411733683</v>
      </c>
      <c r="G6" s="3">
        <f aca="true" t="shared" si="0" ref="G6:G43">D6/C6*100</f>
        <v>59.81623752987465</v>
      </c>
      <c r="H6" s="51">
        <f>B6-D6</f>
        <v>57600.09999999998</v>
      </c>
      <c r="I6" s="51">
        <f aca="true" t="shared" si="1" ref="I6:I43">C6-D6</f>
        <v>178996.39999999997</v>
      </c>
    </row>
    <row r="7" spans="1:9" s="41" customFormat="1" ht="18.75">
      <c r="A7" s="112" t="s">
        <v>97</v>
      </c>
      <c r="B7" s="105">
        <v>142612.5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</f>
        <v>117406.90000000001</v>
      </c>
      <c r="E7" s="103">
        <f>D7/D6*100</f>
        <v>44.06368667530875</v>
      </c>
      <c r="F7" s="103">
        <f>D7/B7*100</f>
        <v>82.3258129546849</v>
      </c>
      <c r="G7" s="103">
        <f>D7/C7*100</f>
        <v>62.48451284103682</v>
      </c>
      <c r="H7" s="113">
        <f>B7-D7</f>
        <v>25205.59999999999</v>
      </c>
      <c r="I7" s="113">
        <f t="shared" si="1"/>
        <v>70490.7</v>
      </c>
    </row>
    <row r="8" spans="1:9" ht="18">
      <c r="A8" s="26" t="s">
        <v>3</v>
      </c>
      <c r="B8" s="46">
        <v>230576.6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</f>
        <v>202494.69999999992</v>
      </c>
      <c r="E8" s="1">
        <f>D8/D6*100</f>
        <v>75.99777367608411</v>
      </c>
      <c r="F8" s="1">
        <f>D8/B8*100</f>
        <v>87.8210104581297</v>
      </c>
      <c r="G8" s="1">
        <f t="shared" si="0"/>
        <v>64.80518890326907</v>
      </c>
      <c r="H8" s="48">
        <f>B8-D8</f>
        <v>28081.90000000008</v>
      </c>
      <c r="I8" s="48">
        <f t="shared" si="1"/>
        <v>109972.1</v>
      </c>
    </row>
    <row r="9" spans="1:9" ht="18">
      <c r="A9" s="26" t="s">
        <v>2</v>
      </c>
      <c r="B9" s="46">
        <v>69.2</v>
      </c>
      <c r="C9" s="47">
        <v>85.7</v>
      </c>
      <c r="D9" s="48">
        <f>4+2.9+1.6+0.5+0.5+1.9+1.2+1.8+1.6+0.7+2+3.7+0.1+1.9+2.9+1.2+0.4+1.1+0.2+0.6+1.5+1.7+0.3+0.5+1.3-0.1+0.4</f>
        <v>36.39999999999999</v>
      </c>
      <c r="E9" s="12">
        <f>D9/D6*100</f>
        <v>0.01366119193148987</v>
      </c>
      <c r="F9" s="128">
        <f>D9/B9*100</f>
        <v>52.60115606936415</v>
      </c>
      <c r="G9" s="1">
        <f t="shared" si="0"/>
        <v>42.4737456242707</v>
      </c>
      <c r="H9" s="48">
        <f aca="true" t="shared" si="2" ref="H9:H43">B9-D9</f>
        <v>32.80000000000001</v>
      </c>
      <c r="I9" s="48">
        <f t="shared" si="1"/>
        <v>49.30000000000001</v>
      </c>
    </row>
    <row r="10" spans="1:9" ht="18">
      <c r="A10" s="26" t="s">
        <v>1</v>
      </c>
      <c r="B10" s="46">
        <v>21092.8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</f>
        <v>15474.500000000007</v>
      </c>
      <c r="E10" s="1">
        <f>D10/D6*100</f>
        <v>5.807695454501102</v>
      </c>
      <c r="F10" s="1">
        <f aca="true" t="shared" si="3" ref="F10:F41">D10/B10*100</f>
        <v>73.36389668512481</v>
      </c>
      <c r="G10" s="1">
        <f t="shared" si="0"/>
        <v>57.07115038503529</v>
      </c>
      <c r="H10" s="48">
        <f t="shared" si="2"/>
        <v>5618.299999999992</v>
      </c>
      <c r="I10" s="48">
        <f t="shared" si="1"/>
        <v>11639.899999999994</v>
      </c>
    </row>
    <row r="11" spans="1:9" ht="18">
      <c r="A11" s="26" t="s">
        <v>0</v>
      </c>
      <c r="B11" s="46">
        <v>48819.5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</f>
        <v>31867.2</v>
      </c>
      <c r="E11" s="1">
        <f>D11/D6*100</f>
        <v>11.959998228548738</v>
      </c>
      <c r="F11" s="1">
        <f t="shared" si="3"/>
        <v>65.27555587418962</v>
      </c>
      <c r="G11" s="1">
        <f t="shared" si="0"/>
        <v>42.50048012291147</v>
      </c>
      <c r="H11" s="48">
        <f t="shared" si="2"/>
        <v>16952.3</v>
      </c>
      <c r="I11" s="48">
        <f t="shared" si="1"/>
        <v>43113.600000000006</v>
      </c>
    </row>
    <row r="12" spans="1:9" ht="18">
      <c r="A12" s="26" t="s">
        <v>15</v>
      </c>
      <c r="B12" s="46">
        <v>10501.3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</f>
        <v>8164.000000000001</v>
      </c>
      <c r="E12" s="1">
        <f>D12/D6*100</f>
        <v>3.0640101903484434</v>
      </c>
      <c r="F12" s="1">
        <f t="shared" si="3"/>
        <v>77.7427556588232</v>
      </c>
      <c r="G12" s="1">
        <f t="shared" si="0"/>
        <v>55.38670284938942</v>
      </c>
      <c r="H12" s="48">
        <f t="shared" si="2"/>
        <v>2337.2999999999984</v>
      </c>
      <c r="I12" s="48">
        <f t="shared" si="1"/>
        <v>6575.999999999999</v>
      </c>
    </row>
    <row r="13" spans="1:9" ht="18.75" thickBot="1">
      <c r="A13" s="26" t="s">
        <v>34</v>
      </c>
      <c r="B13" s="47">
        <f>B6-B8-B9-B10-B11-B12</f>
        <v>12988.899999999983</v>
      </c>
      <c r="C13" s="47">
        <f>C6-C8-C9-C10-C11-C12</f>
        <v>16056.900000000038</v>
      </c>
      <c r="D13" s="47">
        <f>D6-D8-D9-D10-D11-D12</f>
        <v>8411.400000000078</v>
      </c>
      <c r="E13" s="1">
        <f>D13/D6*100</f>
        <v>3.156861258586126</v>
      </c>
      <c r="F13" s="1">
        <f t="shared" si="3"/>
        <v>64.75837060875124</v>
      </c>
      <c r="G13" s="1">
        <f t="shared" si="0"/>
        <v>52.38495600022457</v>
      </c>
      <c r="H13" s="48">
        <f t="shared" si="2"/>
        <v>4577.499999999905</v>
      </c>
      <c r="I13" s="48">
        <f t="shared" si="1"/>
        <v>7645.49999999996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196289.2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</f>
        <v>163438.7</v>
      </c>
      <c r="E18" s="3">
        <f>D18/D150*100</f>
        <v>16.97676375270068</v>
      </c>
      <c r="F18" s="3">
        <f>D18/B18*100</f>
        <v>83.26423460893416</v>
      </c>
      <c r="G18" s="3">
        <f t="shared" si="0"/>
        <v>62.8098242971116</v>
      </c>
      <c r="H18" s="51">
        <f>B18-D18</f>
        <v>32850.5</v>
      </c>
      <c r="I18" s="51">
        <f t="shared" si="1"/>
        <v>96773.29999999999</v>
      </c>
    </row>
    <row r="19" spans="1:9" s="41" customFormat="1" ht="18.75">
      <c r="A19" s="112" t="s">
        <v>98</v>
      </c>
      <c r="B19" s="105">
        <v>142085.1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</f>
        <v>119596.49999999997</v>
      </c>
      <c r="E19" s="103">
        <f>D19/D18*100</f>
        <v>73.17514150565316</v>
      </c>
      <c r="F19" s="103">
        <f t="shared" si="3"/>
        <v>84.17244313443139</v>
      </c>
      <c r="G19" s="103">
        <f t="shared" si="0"/>
        <v>62.446089068690604</v>
      </c>
      <c r="H19" s="113">
        <f t="shared" si="2"/>
        <v>22488.600000000035</v>
      </c>
      <c r="I19" s="113">
        <f t="shared" si="1"/>
        <v>71923.10000000003</v>
      </c>
    </row>
    <row r="20" spans="1:9" ht="18">
      <c r="A20" s="26" t="s">
        <v>5</v>
      </c>
      <c r="B20" s="46">
        <v>144064.1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5722.2+1+8655.9+32.9+2.4+5725.7+8251+357.7+0.1+5829.5+27.9+3957+4812.9+26.7+6036.7+16.8+6839+2416.2+22.3+6209+10229+319.3+6468+9728.3+1605.6+3790.5+3239.9+10406.4+0.1+6965.8+3+5278.9+3995.6+0.1</f>
        <v>126973.40000000001</v>
      </c>
      <c r="E20" s="1">
        <f>D20/D18*100</f>
        <v>77.68869918813598</v>
      </c>
      <c r="F20" s="1">
        <f t="shared" si="3"/>
        <v>88.13673913209468</v>
      </c>
      <c r="G20" s="1">
        <f t="shared" si="0"/>
        <v>66.97410882038635</v>
      </c>
      <c r="H20" s="48">
        <f t="shared" si="2"/>
        <v>17090.699999999997</v>
      </c>
      <c r="I20" s="48">
        <f t="shared" si="1"/>
        <v>62612.39999999998</v>
      </c>
    </row>
    <row r="21" spans="1:9" ht="18">
      <c r="A21" s="26" t="s">
        <v>2</v>
      </c>
      <c r="B21" s="46">
        <v>18737.9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</f>
        <v>14445.2</v>
      </c>
      <c r="E21" s="1">
        <f>D21/D18*100</f>
        <v>8.83829839566761</v>
      </c>
      <c r="F21" s="1">
        <f t="shared" si="3"/>
        <v>77.09081593988654</v>
      </c>
      <c r="G21" s="1">
        <f t="shared" si="0"/>
        <v>65.33421982206906</v>
      </c>
      <c r="H21" s="48">
        <f t="shared" si="2"/>
        <v>4292.700000000001</v>
      </c>
      <c r="I21" s="48">
        <f t="shared" si="1"/>
        <v>7664.499999999996</v>
      </c>
    </row>
    <row r="22" spans="1:9" ht="18">
      <c r="A22" s="26" t="s">
        <v>1</v>
      </c>
      <c r="B22" s="46">
        <v>3133.3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127.7+23.6+33.5+86.7+19.5+2.9+68.3+78.1+10.6+165.4+2.5+15.8+6.5+60.2+104.3+141.7+2.3+23.7+90.2+22.1+28.3+93.7+27.2-0.1+0.2+54.7+9.9+37.6+110.2+182.3+0.1+39.2+35.9+64.9+14.2+28+147.6+14.5+0.1+67.9+38.7+142.7+29+23+176.1+16.8+117.5+127.9+4.9</f>
        <v>2718.6000000000004</v>
      </c>
      <c r="E22" s="1">
        <f>D22/D18*100</f>
        <v>1.6633759323832116</v>
      </c>
      <c r="F22" s="1">
        <f t="shared" si="3"/>
        <v>86.76475281651933</v>
      </c>
      <c r="G22" s="1">
        <f t="shared" si="0"/>
        <v>69.38921360933153</v>
      </c>
      <c r="H22" s="48">
        <f t="shared" si="2"/>
        <v>414.6999999999998</v>
      </c>
      <c r="I22" s="48">
        <f t="shared" si="1"/>
        <v>1199.2999999999997</v>
      </c>
    </row>
    <row r="23" spans="1:9" ht="18">
      <c r="A23" s="26" t="s">
        <v>0</v>
      </c>
      <c r="B23" s="46">
        <v>18016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</f>
        <v>14376.999999999998</v>
      </c>
      <c r="E23" s="1">
        <f>D23/D18*100</f>
        <v>8.796570212562873</v>
      </c>
      <c r="F23" s="1">
        <f t="shared" si="3"/>
        <v>79.80128774422735</v>
      </c>
      <c r="G23" s="1">
        <f t="shared" si="0"/>
        <v>48.36929826332115</v>
      </c>
      <c r="H23" s="48">
        <f t="shared" si="2"/>
        <v>3639.000000000002</v>
      </c>
      <c r="I23" s="48">
        <f t="shared" si="1"/>
        <v>15346.400000000003</v>
      </c>
    </row>
    <row r="24" spans="1:9" ht="18">
      <c r="A24" s="26" t="s">
        <v>15</v>
      </c>
      <c r="B24" s="46">
        <v>1212.1</v>
      </c>
      <c r="C24" s="47">
        <v>1591.6</v>
      </c>
      <c r="D24" s="48">
        <f>73.6+22.6+5.3+2.4+2.5+128.1+0.1+11.5+121.2+11.2-0.1+27.3+71.1+31.4-0.1+0.8+24.6+83.5+19.6+26.5+24.2+67.9+2.3+4+48.1+8.9+75.1+2+0.1+126.5+0.8</f>
        <v>1022.9999999999999</v>
      </c>
      <c r="E24" s="1">
        <f>D24/D18*100</f>
        <v>0.6259227465710384</v>
      </c>
      <c r="F24" s="1">
        <f t="shared" si="3"/>
        <v>84.39897698209718</v>
      </c>
      <c r="G24" s="1">
        <f t="shared" si="0"/>
        <v>64.27494345312891</v>
      </c>
      <c r="H24" s="48">
        <f t="shared" si="2"/>
        <v>189.10000000000002</v>
      </c>
      <c r="I24" s="48">
        <f t="shared" si="1"/>
        <v>568.6</v>
      </c>
    </row>
    <row r="25" spans="1:9" ht="18.75" thickBot="1">
      <c r="A25" s="26" t="s">
        <v>34</v>
      </c>
      <c r="B25" s="47">
        <f>B18-B20-B21-B22-B23-B24</f>
        <v>11125.800000000005</v>
      </c>
      <c r="C25" s="47">
        <f>C18-C20-C21-C22-C23-C24</f>
        <v>13283.600000000011</v>
      </c>
      <c r="D25" s="47">
        <f>D18-D20-D21-D22-D23-D24</f>
        <v>3901.500000000002</v>
      </c>
      <c r="E25" s="1">
        <f>D25/D18*100</f>
        <v>2.3871335246792844</v>
      </c>
      <c r="F25" s="1">
        <f t="shared" si="3"/>
        <v>35.06714123928167</v>
      </c>
      <c r="G25" s="1">
        <f t="shared" si="0"/>
        <v>29.37080309554638</v>
      </c>
      <c r="H25" s="48">
        <f t="shared" si="2"/>
        <v>7224.300000000003</v>
      </c>
      <c r="I25" s="48">
        <f t="shared" si="1"/>
        <v>9382.10000000001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37065.9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</f>
        <v>31309</v>
      </c>
      <c r="E33" s="3">
        <f>D33/D150*100</f>
        <v>3.252139770649825</v>
      </c>
      <c r="F33" s="3">
        <f>D33/B33*100</f>
        <v>84.46847371843123</v>
      </c>
      <c r="G33" s="3">
        <f t="shared" si="0"/>
        <v>64.7506266389815</v>
      </c>
      <c r="H33" s="51">
        <f t="shared" si="2"/>
        <v>5756.9000000000015</v>
      </c>
      <c r="I33" s="51">
        <f t="shared" si="1"/>
        <v>17044.199999999997</v>
      </c>
    </row>
    <row r="34" spans="1:9" ht="18">
      <c r="A34" s="26" t="s">
        <v>3</v>
      </c>
      <c r="B34" s="46">
        <v>26991.2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1335+1268.2+1354.9+1304.2+1357+1359.6+1365.6+1342.2+1381.4+3.9+1624.5+11.9+0.1+10+3950.5+2820.4+0.1+74+93.6+20+430.6+329.1+0.1+119.6+19.5+358.3+39+1137.3+0.1</f>
        <v>23110.69999999999</v>
      </c>
      <c r="E34" s="1">
        <f>D34/D33*100</f>
        <v>73.81487751125871</v>
      </c>
      <c r="F34" s="1">
        <f t="shared" si="3"/>
        <v>85.62309197071633</v>
      </c>
      <c r="G34" s="1">
        <f t="shared" si="0"/>
        <v>63.57949121441126</v>
      </c>
      <c r="H34" s="48">
        <f t="shared" si="2"/>
        <v>3880.500000000011</v>
      </c>
      <c r="I34" s="48">
        <f t="shared" si="1"/>
        <v>13238.600000000006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1918.5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</f>
        <v>1265.2999999999995</v>
      </c>
      <c r="E36" s="1">
        <f>D36/D33*100</f>
        <v>4.041329969018491</v>
      </c>
      <c r="F36" s="1">
        <f t="shared" si="3"/>
        <v>65.9525671097211</v>
      </c>
      <c r="G36" s="1">
        <f t="shared" si="0"/>
        <v>37.38624276090295</v>
      </c>
      <c r="H36" s="48">
        <f t="shared" si="2"/>
        <v>653.2000000000005</v>
      </c>
      <c r="I36" s="48">
        <f t="shared" si="1"/>
        <v>2119.1000000000004</v>
      </c>
    </row>
    <row r="37" spans="1:9" s="41" customFormat="1" ht="18.75">
      <c r="A37" s="20" t="s">
        <v>7</v>
      </c>
      <c r="B37" s="55">
        <v>824.4</v>
      </c>
      <c r="C37" s="56">
        <v>929.3</v>
      </c>
      <c r="D37" s="57">
        <f>11.2+19.5+15.2+5+5.7-0.1+1.9+5.1+7+0.3+7.7+25.8+82+15.4+14.3+13.2+14.4+42.6+0.1+37.6+3+2.6+0.8+1.6+3.9</f>
        <v>335.8000000000001</v>
      </c>
      <c r="E37" s="17">
        <f>D37/D33*100</f>
        <v>1.0725350538183913</v>
      </c>
      <c r="F37" s="17">
        <f t="shared" si="3"/>
        <v>40.73265405143136</v>
      </c>
      <c r="G37" s="17">
        <f t="shared" si="0"/>
        <v>36.13472506187455</v>
      </c>
      <c r="H37" s="57">
        <f t="shared" si="2"/>
        <v>488.59999999999985</v>
      </c>
      <c r="I37" s="57">
        <f t="shared" si="1"/>
        <v>593.4999999999998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0.08144622951866876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7306.300000000001</v>
      </c>
      <c r="C39" s="46">
        <f>C33-C34-C36-C37-C35-C38</f>
        <v>7629.4000000000015</v>
      </c>
      <c r="D39" s="46">
        <f>D33-D34-D36-D37-D35-D38</f>
        <v>6571.700000000011</v>
      </c>
      <c r="E39" s="1">
        <f>D39/D33*100</f>
        <v>20.989811236385737</v>
      </c>
      <c r="F39" s="1">
        <f t="shared" si="3"/>
        <v>89.94566333164543</v>
      </c>
      <c r="G39" s="1">
        <f t="shared" si="0"/>
        <v>86.13652449733937</v>
      </c>
      <c r="H39" s="48">
        <f>B39-D39</f>
        <v>734.5999999999904</v>
      </c>
      <c r="I39" s="48">
        <f t="shared" si="1"/>
        <v>1057.6999999999907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939.9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22.2+3+5+12.1+5.3+62.1+8.7+22.7+11.7+44.1-0.1+8.7+8.3+9+2+12.1+30.9+11+14.3+28.5+0.1+1.2+34+0.6+0.1+2.3+3+1.5+17.9+19.5+82.4-0.1+0.8+8.4+18.6+22.3+0.1+13.7+8+9.3+10.6+0.7+8+22.7</f>
        <v>607.3000000000002</v>
      </c>
      <c r="E43" s="3">
        <f>D43/D150*100</f>
        <v>0.06308168522519529</v>
      </c>
      <c r="F43" s="3">
        <f>D43/B43*100</f>
        <v>64.61325672943933</v>
      </c>
      <c r="G43" s="3">
        <f t="shared" si="0"/>
        <v>45.37168472170342</v>
      </c>
      <c r="H43" s="51">
        <f t="shared" si="2"/>
        <v>332.5999999999998</v>
      </c>
      <c r="I43" s="51">
        <f t="shared" si="1"/>
        <v>731.1999999999998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5680.4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224.1+260.8+14.4+236.4+3.2+114.6+291.3+0.1+96+241.4+13.4+0.1+331+0.7-0.1+39.8+268.9+0.5+9.3+307.6+278.3+1.8+5.2+302.3+9.3+4.6+275.3+25.3+352.3+6.4+0.1+14.8+50.6+5.2+267.1+7.9+293.7+39+18+185.4+5.5+5.1+343.4-0.1</f>
        <v>4950</v>
      </c>
      <c r="E45" s="3">
        <f>D45/D150*100</f>
        <v>0.5141681901279707</v>
      </c>
      <c r="F45" s="3">
        <f>D45/B45*100</f>
        <v>87.14175058094501</v>
      </c>
      <c r="G45" s="3">
        <f aca="true" t="shared" si="4" ref="G45:G76">D45/C45*100</f>
        <v>63.56830060743043</v>
      </c>
      <c r="H45" s="51">
        <f>B45-D45</f>
        <v>730.3999999999996</v>
      </c>
      <c r="I45" s="51">
        <f aca="true" t="shared" si="5" ref="I45:I77">C45-D45</f>
        <v>2836.9000000000005</v>
      </c>
    </row>
    <row r="46" spans="1:9" ht="18">
      <c r="A46" s="26" t="s">
        <v>3</v>
      </c>
      <c r="B46" s="46">
        <v>5037.6</v>
      </c>
      <c r="C46" s="47">
        <v>6753.6</v>
      </c>
      <c r="D46" s="48">
        <f>224.1+258.6+235.3+288.8+241.4+328.6+224.6+306.6+239.4+298.3+269.8+13.5+346.9+45.8+263.2+291.7-0.1+38.6+180.3+343.4</f>
        <v>4438.8</v>
      </c>
      <c r="E46" s="1">
        <f>D46/D45*100</f>
        <v>89.67272727272729</v>
      </c>
      <c r="F46" s="1">
        <f aca="true" t="shared" si="6" ref="F46:F74">D46/B46*100</f>
        <v>88.11338732729871</v>
      </c>
      <c r="G46" s="1">
        <f t="shared" si="4"/>
        <v>65.72494669509594</v>
      </c>
      <c r="H46" s="48">
        <f aca="true" t="shared" si="7" ref="H46:H74">B46-D46</f>
        <v>598.8000000000002</v>
      </c>
      <c r="I46" s="48">
        <f t="shared" si="5"/>
        <v>2314.8</v>
      </c>
    </row>
    <row r="47" spans="1:9" ht="18">
      <c r="A47" s="26" t="s">
        <v>2</v>
      </c>
      <c r="B47" s="46">
        <v>1.1</v>
      </c>
      <c r="C47" s="47">
        <v>1.3</v>
      </c>
      <c r="D47" s="48">
        <f>0.3+0.4+0.1</f>
        <v>0.7999999999999999</v>
      </c>
      <c r="E47" s="1">
        <f>D47/D45*100</f>
        <v>0.016161616161616158</v>
      </c>
      <c r="F47" s="1">
        <f t="shared" si="6"/>
        <v>72.72727272727272</v>
      </c>
      <c r="G47" s="1">
        <f t="shared" si="4"/>
        <v>61.53846153846153</v>
      </c>
      <c r="H47" s="48">
        <f t="shared" si="7"/>
        <v>0.30000000000000016</v>
      </c>
      <c r="I47" s="48">
        <f t="shared" si="5"/>
        <v>0.5000000000000001</v>
      </c>
    </row>
    <row r="48" spans="1:9" ht="18">
      <c r="A48" s="26" t="s">
        <v>1</v>
      </c>
      <c r="B48" s="46">
        <v>39.2</v>
      </c>
      <c r="C48" s="47">
        <v>70.7</v>
      </c>
      <c r="D48" s="48">
        <f>0.2+2.1+0.1+6.5+6.7-0.1+7+4.6+1.6+2+4.6</f>
        <v>35.300000000000004</v>
      </c>
      <c r="E48" s="1">
        <f>D48/D45*100</f>
        <v>0.7131313131313133</v>
      </c>
      <c r="F48" s="1">
        <f t="shared" si="6"/>
        <v>90.05102040816327</v>
      </c>
      <c r="G48" s="1">
        <f t="shared" si="4"/>
        <v>49.92927864214993</v>
      </c>
      <c r="H48" s="48">
        <f t="shared" si="7"/>
        <v>3.8999999999999986</v>
      </c>
      <c r="I48" s="48">
        <f t="shared" si="5"/>
        <v>35.4</v>
      </c>
    </row>
    <row r="49" spans="1:9" ht="18">
      <c r="A49" s="26" t="s">
        <v>0</v>
      </c>
      <c r="B49" s="46">
        <v>337.1</v>
      </c>
      <c r="C49" s="47">
        <f>568.5+40.5</f>
        <v>609</v>
      </c>
      <c r="D49" s="48">
        <f>2.2+2.5+0.8+112.4+2.2+0.1+69.1+4.4-0.1+35.2+27.4+4.8+1+22.3+2.5+1.6+0.6+4.2-0.1+0.5+5.1+0.3+0.5+1.6</f>
        <v>301.1000000000001</v>
      </c>
      <c r="E49" s="1">
        <f>D49/D45*100</f>
        <v>6.0828282828282845</v>
      </c>
      <c r="F49" s="1">
        <f t="shared" si="6"/>
        <v>89.32067635716406</v>
      </c>
      <c r="G49" s="1">
        <f t="shared" si="4"/>
        <v>49.4417077175698</v>
      </c>
      <c r="H49" s="48">
        <f t="shared" si="7"/>
        <v>35.99999999999994</v>
      </c>
      <c r="I49" s="48">
        <f t="shared" si="5"/>
        <v>307.8999999999999</v>
      </c>
    </row>
    <row r="50" spans="1:9" ht="18.75" thickBot="1">
      <c r="A50" s="26" t="s">
        <v>34</v>
      </c>
      <c r="B50" s="47">
        <f>B45-B46-B49-B48-B47</f>
        <v>265.39999999999924</v>
      </c>
      <c r="C50" s="47">
        <f>C45-C46-C49-C48-C47</f>
        <v>352.3000000000002</v>
      </c>
      <c r="D50" s="47">
        <f>D45-D46-D49-D48-D47</f>
        <v>173.99999999999972</v>
      </c>
      <c r="E50" s="1">
        <f>D50/D45*100</f>
        <v>3.5151515151515094</v>
      </c>
      <c r="F50" s="1">
        <f t="shared" si="6"/>
        <v>65.56141672946504</v>
      </c>
      <c r="G50" s="1">
        <f t="shared" si="4"/>
        <v>49.38972466647733</v>
      </c>
      <c r="H50" s="48">
        <f t="shared" si="7"/>
        <v>91.39999999999952</v>
      </c>
      <c r="I50" s="48">
        <f t="shared" si="5"/>
        <v>178.30000000000047</v>
      </c>
    </row>
    <row r="51" spans="1:9" ht="18.75" thickBot="1">
      <c r="A51" s="25" t="s">
        <v>4</v>
      </c>
      <c r="B51" s="49">
        <v>12847.3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</f>
        <v>9584.699999999995</v>
      </c>
      <c r="E51" s="3">
        <f>D51/D150*100</f>
        <v>0.9955854246302138</v>
      </c>
      <c r="F51" s="3">
        <f>D51/B51*100</f>
        <v>74.60478077105692</v>
      </c>
      <c r="G51" s="3">
        <f t="shared" si="4"/>
        <v>55.91648143934751</v>
      </c>
      <c r="H51" s="51">
        <f>B51-D51</f>
        <v>3262.600000000004</v>
      </c>
      <c r="I51" s="51">
        <f t="shared" si="5"/>
        <v>7556.400000000003</v>
      </c>
    </row>
    <row r="52" spans="1:9" ht="18">
      <c r="A52" s="26" t="s">
        <v>3</v>
      </c>
      <c r="B52" s="46">
        <v>7647.2</v>
      </c>
      <c r="C52" s="47">
        <v>10328.7</v>
      </c>
      <c r="D52" s="48">
        <f>8+294.9+437.7+298.5+423.7+297.9+451.2+294.5+446+301+554.2+412+820.4+487.4+393.4+0.1+169.4+354.3-0.1</f>
        <v>6444.499999999998</v>
      </c>
      <c r="E52" s="1">
        <f>D52/D51*100</f>
        <v>67.2373678884055</v>
      </c>
      <c r="F52" s="1">
        <f t="shared" si="6"/>
        <v>84.27267496600061</v>
      </c>
      <c r="G52" s="1">
        <f t="shared" si="4"/>
        <v>62.3941057441885</v>
      </c>
      <c r="H52" s="48">
        <f t="shared" si="7"/>
        <v>1202.7000000000016</v>
      </c>
      <c r="I52" s="48">
        <f t="shared" si="5"/>
        <v>3884.2000000000025</v>
      </c>
    </row>
    <row r="53" spans="1:9" ht="18">
      <c r="A53" s="26" t="s">
        <v>2</v>
      </c>
      <c r="B53" s="46">
        <v>3</v>
      </c>
      <c r="C53" s="47">
        <v>12</v>
      </c>
      <c r="D53" s="48"/>
      <c r="E53" s="1">
        <f>D53/D51*100</f>
        <v>0</v>
      </c>
      <c r="F53" s="111">
        <f t="shared" si="6"/>
        <v>0</v>
      </c>
      <c r="G53" s="1">
        <f t="shared" si="4"/>
        <v>0</v>
      </c>
      <c r="H53" s="48">
        <f t="shared" si="7"/>
        <v>3</v>
      </c>
      <c r="I53" s="48">
        <f t="shared" si="5"/>
        <v>12</v>
      </c>
    </row>
    <row r="54" spans="1:9" ht="18">
      <c r="A54" s="26" t="s">
        <v>1</v>
      </c>
      <c r="B54" s="46">
        <v>211.3</v>
      </c>
      <c r="C54" s="47">
        <v>287</v>
      </c>
      <c r="D54" s="48">
        <f>1.3+0.7+2.1+1+1.3+7.6+7.5+6.3+0.4+13+20.7+0.5+5.3+9.4+10+8.9+5.1+7.2+1-0.1+17.9+7.1+3.8+1.6+1.9+6.6+0.6</f>
        <v>148.70000000000002</v>
      </c>
      <c r="E54" s="1">
        <f>D54/D51*100</f>
        <v>1.5514309263722401</v>
      </c>
      <c r="F54" s="1">
        <f t="shared" si="6"/>
        <v>70.37387600567914</v>
      </c>
      <c r="G54" s="1">
        <f t="shared" si="4"/>
        <v>51.81184668989548</v>
      </c>
      <c r="H54" s="48">
        <f t="shared" si="7"/>
        <v>62.599999999999994</v>
      </c>
      <c r="I54" s="48">
        <f t="shared" si="5"/>
        <v>138.29999999999998</v>
      </c>
    </row>
    <row r="55" spans="1:9" ht="18">
      <c r="A55" s="26" t="s">
        <v>0</v>
      </c>
      <c r="B55" s="46">
        <v>613.8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10.7+0.6+7.6+85.1+28.4+14.4+0.1+8.5+0.1+7+0.1+7.7+62.8+6+1.3+0.9+0.9+1+0.7+0.1+4.7+15.2+34.9+9+4+15.8+5.5+7+1.9+1.5+0.1+2.4+1.8+3.7+1.3+4.5+2.3+0.7+0.1+1.8+6.8+1.6+0.7+0.5+1.1+12.5+0.8</f>
        <v>386.20000000000005</v>
      </c>
      <c r="E55" s="1">
        <f>D55/D51*100</f>
        <v>4.029338424781164</v>
      </c>
      <c r="F55" s="1">
        <f t="shared" si="6"/>
        <v>62.91951775822745</v>
      </c>
      <c r="G55" s="1">
        <f t="shared" si="4"/>
        <v>41.38891865823599</v>
      </c>
      <c r="H55" s="48">
        <f t="shared" si="7"/>
        <v>227.5999999999999</v>
      </c>
      <c r="I55" s="48">
        <f t="shared" si="5"/>
        <v>546.9</v>
      </c>
    </row>
    <row r="56" spans="1:9" ht="18">
      <c r="A56" s="26" t="s">
        <v>15</v>
      </c>
      <c r="B56" s="46">
        <v>200</v>
      </c>
      <c r="C56" s="47">
        <v>200</v>
      </c>
      <c r="D56" s="47">
        <f>40+40+40</f>
        <v>120</v>
      </c>
      <c r="E56" s="1">
        <f>D56/D51*100</f>
        <v>1.2519953676171405</v>
      </c>
      <c r="F56" s="1">
        <f>D56/B56*100</f>
        <v>60</v>
      </c>
      <c r="G56" s="1">
        <f>D56/C56*100</f>
        <v>60</v>
      </c>
      <c r="H56" s="48">
        <f t="shared" si="7"/>
        <v>80</v>
      </c>
      <c r="I56" s="48">
        <f t="shared" si="5"/>
        <v>80</v>
      </c>
    </row>
    <row r="57" spans="1:9" ht="18.75" thickBot="1">
      <c r="A57" s="26" t="s">
        <v>34</v>
      </c>
      <c r="B57" s="47">
        <f>B51-B52-B55-B54-B53-B56</f>
        <v>4171.999999999999</v>
      </c>
      <c r="C57" s="47">
        <f>C51-C52-C55-C54-C53-C56</f>
        <v>5380.299999999997</v>
      </c>
      <c r="D57" s="47">
        <f>D51-D52-D55-D54-D53-D56</f>
        <v>2485.2999999999975</v>
      </c>
      <c r="E57" s="1">
        <f>D57/D51*100</f>
        <v>25.92986739282397</v>
      </c>
      <c r="F57" s="1">
        <f t="shared" si="6"/>
        <v>59.5709491850431</v>
      </c>
      <c r="G57" s="1">
        <f t="shared" si="4"/>
        <v>46.192591491180764</v>
      </c>
      <c r="H57" s="48">
        <f>B57-D57</f>
        <v>1686.7000000000016</v>
      </c>
      <c r="I57" s="48">
        <f>C57-D57</f>
        <v>2895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5427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43.5+4.7+72.8+47.2+46+5+62.5+3.8+40.9+35.3+2.1+2.9+21.1+3.9+86.8+0.2+2.7+44.1+47.3+140.1+0.1+45.6+13.8+0.9+95.5-0.1+6.7+60.6+0.7+0.5+92.7+2.8+4+111.8+66.3+34+5.8+77.7+2.3+68.7+75.6+2+307.4+46.6+2.4+84.1</f>
        <v>1921.3999999999996</v>
      </c>
      <c r="E59" s="3">
        <f>D59/D150*100</f>
        <v>0.1995803556589662</v>
      </c>
      <c r="F59" s="3">
        <f>D59/B59*100</f>
        <v>35.404459185553705</v>
      </c>
      <c r="G59" s="3">
        <f t="shared" si="4"/>
        <v>31.33705189679355</v>
      </c>
      <c r="H59" s="51">
        <f>B59-D59</f>
        <v>3505.6000000000004</v>
      </c>
      <c r="I59" s="51">
        <f t="shared" si="5"/>
        <v>4210</v>
      </c>
    </row>
    <row r="60" spans="1:9" ht="18">
      <c r="A60" s="26" t="s">
        <v>3</v>
      </c>
      <c r="B60" s="46">
        <v>1249.5</v>
      </c>
      <c r="C60" s="47">
        <f>1508.2+134.4</f>
        <v>1642.6000000000001</v>
      </c>
      <c r="D60" s="48">
        <f>43.5+72.8+47.2+62.5+0.1+35.3+86.8+44.1+125.7+41.4+92.3+60.6+92.7+66.3+68.7-0.1+2+54.7+84.1</f>
        <v>1080.7</v>
      </c>
      <c r="E60" s="1">
        <f>D60/D59*100</f>
        <v>56.24544602893725</v>
      </c>
      <c r="F60" s="1">
        <f t="shared" si="6"/>
        <v>86.4905962384954</v>
      </c>
      <c r="G60" s="1">
        <f t="shared" si="4"/>
        <v>65.79203701448922</v>
      </c>
      <c r="H60" s="48">
        <f t="shared" si="7"/>
        <v>168.79999999999995</v>
      </c>
      <c r="I60" s="48">
        <f t="shared" si="5"/>
        <v>561.9000000000001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16.22254606016447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377.3</v>
      </c>
      <c r="C62" s="47">
        <v>627.5</v>
      </c>
      <c r="D62" s="48">
        <f>4.7+45.7+4.9+40.9+19.8+3.9+46.3+9+12.6+0.9+3+0.3+2.8+0.3+0.1+2.2+0.3+2.2</f>
        <v>199.9</v>
      </c>
      <c r="E62" s="1">
        <f>D62/D59*100</f>
        <v>10.403872176537943</v>
      </c>
      <c r="F62" s="1">
        <f t="shared" si="6"/>
        <v>52.98171216538563</v>
      </c>
      <c r="G62" s="1">
        <f t="shared" si="4"/>
        <v>31.856573705179287</v>
      </c>
      <c r="H62" s="48">
        <f t="shared" si="7"/>
        <v>177.4</v>
      </c>
      <c r="I62" s="48">
        <f t="shared" si="5"/>
        <v>427.6</v>
      </c>
    </row>
    <row r="63" spans="1:9" ht="18">
      <c r="A63" s="26" t="s">
        <v>15</v>
      </c>
      <c r="B63" s="46">
        <f>3216.2+115.2</f>
        <v>3331.3999999999996</v>
      </c>
      <c r="C63" s="47">
        <f>3216.2+115.2</f>
        <v>3331.3999999999996</v>
      </c>
      <c r="D63" s="48">
        <f>252</f>
        <v>252</v>
      </c>
      <c r="E63" s="1">
        <f>D63/D59*100</f>
        <v>13.115436660768193</v>
      </c>
      <c r="F63" s="1">
        <f t="shared" si="6"/>
        <v>7.564387344659903</v>
      </c>
      <c r="G63" s="1">
        <f t="shared" si="4"/>
        <v>7.564387344659903</v>
      </c>
      <c r="H63" s="48">
        <f t="shared" si="7"/>
        <v>3079.3999999999996</v>
      </c>
      <c r="I63" s="48">
        <f t="shared" si="5"/>
        <v>3079.3999999999996</v>
      </c>
    </row>
    <row r="64" spans="1:9" ht="18.75" thickBot="1">
      <c r="A64" s="26" t="s">
        <v>34</v>
      </c>
      <c r="B64" s="47">
        <f>B59-B60-B62-B63-B61</f>
        <v>137.00000000000017</v>
      </c>
      <c r="C64" s="47">
        <f>C59-C60-C62-C63-C61</f>
        <v>198.09999999999962</v>
      </c>
      <c r="D64" s="47">
        <f>D59-D60-D62-D63-D61</f>
        <v>77.09999999999957</v>
      </c>
      <c r="E64" s="1">
        <f>D64/D59*100</f>
        <v>4.012699073592151</v>
      </c>
      <c r="F64" s="1">
        <f t="shared" si="6"/>
        <v>56.27737226277334</v>
      </c>
      <c r="G64" s="1">
        <f t="shared" si="4"/>
        <v>38.9197375063098</v>
      </c>
      <c r="H64" s="48">
        <f t="shared" si="7"/>
        <v>59.9000000000006</v>
      </c>
      <c r="I64" s="48">
        <f t="shared" si="5"/>
        <v>121.00000000000006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248.10000000000002</v>
      </c>
      <c r="C69" s="50">
        <f>C70+C71</f>
        <v>369.7</v>
      </c>
      <c r="D69" s="51">
        <f>SUM(D70:D71)</f>
        <v>179.5</v>
      </c>
      <c r="E69" s="39">
        <f>D69/D150*100</f>
        <v>0.018645088914741564</v>
      </c>
      <c r="F69" s="3">
        <f>D69/B69*100</f>
        <v>72.34985892785166</v>
      </c>
      <c r="G69" s="3">
        <f t="shared" si="4"/>
        <v>48.55288071409251</v>
      </c>
      <c r="H69" s="51">
        <f>B69-D69</f>
        <v>68.60000000000002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77.2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12.435233160621761</v>
      </c>
      <c r="G71" s="1">
        <f t="shared" si="4"/>
        <v>4.831404126824358</v>
      </c>
      <c r="H71" s="48">
        <f t="shared" si="7"/>
        <v>67.60000000000001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818.5</v>
      </c>
      <c r="C77" s="66">
        <f>10000-8192+3069.6</f>
        <v>4877.6</v>
      </c>
      <c r="D77" s="67"/>
      <c r="E77" s="45"/>
      <c r="F77" s="45"/>
      <c r="G77" s="45"/>
      <c r="H77" s="67">
        <f>B77-D77</f>
        <v>818.5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45963.3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</f>
        <v>37774.099999999984</v>
      </c>
      <c r="E90" s="3">
        <f>D90/D150*100</f>
        <v>3.92368497590161</v>
      </c>
      <c r="F90" s="3">
        <f aca="true" t="shared" si="10" ref="F90:F96">D90/B90*100</f>
        <v>82.18317657783489</v>
      </c>
      <c r="G90" s="3">
        <f t="shared" si="8"/>
        <v>63.70375991837626</v>
      </c>
      <c r="H90" s="51">
        <f aca="true" t="shared" si="11" ref="H90:H96">B90-D90</f>
        <v>8189.200000000019</v>
      </c>
      <c r="I90" s="51">
        <f t="shared" si="9"/>
        <v>21522.400000000023</v>
      </c>
    </row>
    <row r="91" spans="1:9" ht="18">
      <c r="A91" s="26" t="s">
        <v>3</v>
      </c>
      <c r="B91" s="46">
        <v>38479.7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</f>
        <v>32436.300000000003</v>
      </c>
      <c r="E91" s="1">
        <f>D91/D90*100</f>
        <v>85.86915373231928</v>
      </c>
      <c r="F91" s="1">
        <f t="shared" si="10"/>
        <v>84.29457610116503</v>
      </c>
      <c r="G91" s="1">
        <f t="shared" si="8"/>
        <v>65.28953899602865</v>
      </c>
      <c r="H91" s="48">
        <f t="shared" si="11"/>
        <v>6043.399999999994</v>
      </c>
      <c r="I91" s="48">
        <f t="shared" si="9"/>
        <v>17244.399999999994</v>
      </c>
    </row>
    <row r="92" spans="1:9" ht="18">
      <c r="A92" s="26" t="s">
        <v>32</v>
      </c>
      <c r="B92" s="46">
        <v>1359.7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9.8+96.8+35.3+50.2+1.4+30+1.1+18.1+138.1+43.8+4.2+9.3+27.5+5.8+0.2+2.4+1+11.7+14.7+34.3+26.9+2.8+30.4+0.1+10.2+1.4+0.2+22+131.7+1.9+1.6+30.8+150.2+0.9+0.6+2.2+0.6+31.6+20.6+1+0.3+3+17.7+35.6+0.9+0.3+39.3</f>
        <v>1100.4999999999998</v>
      </c>
      <c r="E92" s="1">
        <f>D92/D90*100</f>
        <v>2.91337186061349</v>
      </c>
      <c r="F92" s="1">
        <f t="shared" si="10"/>
        <v>80.93697139074794</v>
      </c>
      <c r="G92" s="1">
        <f t="shared" si="8"/>
        <v>51.87611954369754</v>
      </c>
      <c r="H92" s="48">
        <f t="shared" si="11"/>
        <v>259.2000000000003</v>
      </c>
      <c r="I92" s="48">
        <f t="shared" si="9"/>
        <v>1020.9000000000003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6123.900000000006</v>
      </c>
      <c r="C94" s="47">
        <f>C90-C91-C92-C93</f>
        <v>7494.400000000011</v>
      </c>
      <c r="D94" s="47">
        <f>D90-D91-D92-D93</f>
        <v>4237.299999999981</v>
      </c>
      <c r="E94" s="1">
        <f>D94/D90*100</f>
        <v>11.21747440706723</v>
      </c>
      <c r="F94" s="1">
        <f t="shared" si="10"/>
        <v>69.19283463152527</v>
      </c>
      <c r="G94" s="1">
        <f>D94/C94*100</f>
        <v>56.53954953031564</v>
      </c>
      <c r="H94" s="48">
        <f t="shared" si="11"/>
        <v>1886.600000000025</v>
      </c>
      <c r="I94" s="48">
        <f>C94-D94</f>
        <v>3257.1000000000295</v>
      </c>
    </row>
    <row r="95" spans="1:9" ht="18.75">
      <c r="A95" s="116" t="s">
        <v>12</v>
      </c>
      <c r="B95" s="119">
        <v>63921.7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</f>
        <v>55200.6</v>
      </c>
      <c r="E95" s="115">
        <f>D95/D150*100</f>
        <v>5.733816686056174</v>
      </c>
      <c r="F95" s="118">
        <f t="shared" si="10"/>
        <v>86.35658938983163</v>
      </c>
      <c r="G95" s="114">
        <f>D95/C95*100</f>
        <v>70.3964475686071</v>
      </c>
      <c r="H95" s="120">
        <f t="shared" si="11"/>
        <v>8721.099999999999</v>
      </c>
      <c r="I95" s="130">
        <f>C95-D95</f>
        <v>23213.299999999996</v>
      </c>
    </row>
    <row r="96" spans="1:9" ht="18.75" thickBot="1">
      <c r="A96" s="117" t="s">
        <v>99</v>
      </c>
      <c r="B96" s="122">
        <v>5140.1</v>
      </c>
      <c r="C96" s="123">
        <f>5343.5+287.2+2416.8+30</f>
        <v>8077.5</v>
      </c>
      <c r="D96" s="124">
        <f>57.3+368.5+61.1+0.1+320+59+0.8+309+245.5+61.2+0.4-0.1+489+12.5+64.8+24.2+437.3+329.2+2.4+382.5+3.4+31.2+13.3+8.3+121.6+67.7+362.1+4.1+31.3+64.2+20.6+78.1</f>
        <v>4030.6</v>
      </c>
      <c r="E96" s="125">
        <f>D96/D95*100</f>
        <v>7.301732227548251</v>
      </c>
      <c r="F96" s="126">
        <f t="shared" si="10"/>
        <v>78.41481683235733</v>
      </c>
      <c r="G96" s="127">
        <f>D96/C96*100</f>
        <v>49.89910244506345</v>
      </c>
      <c r="H96" s="131">
        <f t="shared" si="11"/>
        <v>1109.5000000000005</v>
      </c>
      <c r="I96" s="132">
        <f>C96-D96</f>
        <v>4046.9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7671.2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</f>
        <v>5450.800000000001</v>
      </c>
      <c r="E102" s="22">
        <f>D102/D150*100</f>
        <v>0.5661874688382915</v>
      </c>
      <c r="F102" s="22">
        <f>D102/B102*100</f>
        <v>71.05537595161124</v>
      </c>
      <c r="G102" s="22">
        <f aca="true" t="shared" si="12" ref="G102:G148">D102/C102*100</f>
        <v>51.93760779045061</v>
      </c>
      <c r="H102" s="87">
        <f aca="true" t="shared" si="13" ref="H102:H107">B102-D102</f>
        <v>2220.3999999999987</v>
      </c>
      <c r="I102" s="87">
        <f aca="true" t="shared" si="14" ref="I102:I148">C102-D102</f>
        <v>5044.0999999999985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15.1+18.9-0.1+18.6+22.1</f>
        <v>74.6</v>
      </c>
      <c r="E103" s="91">
        <f>D103/D102*100</f>
        <v>1.3686064430909222</v>
      </c>
      <c r="F103" s="1">
        <f>D103/B103*100</f>
        <v>81.1751904243743</v>
      </c>
      <c r="G103" s="91">
        <f>D103/C103*100</f>
        <v>39.76545842217484</v>
      </c>
      <c r="H103" s="95">
        <f t="shared" si="13"/>
        <v>17.30000000000001</v>
      </c>
      <c r="I103" s="95">
        <f t="shared" si="14"/>
        <v>113</v>
      </c>
    </row>
    <row r="104" spans="1:9" ht="18">
      <c r="A104" s="93" t="s">
        <v>60</v>
      </c>
      <c r="B104" s="78">
        <v>6193.5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</f>
        <v>4674</v>
      </c>
      <c r="E104" s="1">
        <f>D104/D102*100</f>
        <v>85.74888089821677</v>
      </c>
      <c r="F104" s="1">
        <f aca="true" t="shared" si="15" ref="F104:F148">D104/B104*100</f>
        <v>75.4662145798014</v>
      </c>
      <c r="G104" s="1">
        <f t="shared" si="12"/>
        <v>54.369067560022344</v>
      </c>
      <c r="H104" s="48">
        <f t="shared" si="13"/>
        <v>1519.5</v>
      </c>
      <c r="I104" s="48">
        <f t="shared" si="14"/>
        <v>3922.7999999999993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1385.8000000000002</v>
      </c>
      <c r="C106" s="96">
        <f>C102-C103-C104</f>
        <v>1710.5</v>
      </c>
      <c r="D106" s="96">
        <f>D102-D103-D104</f>
        <v>702.2000000000007</v>
      </c>
      <c r="E106" s="92">
        <f>D106/D102*100</f>
        <v>12.882512658692313</v>
      </c>
      <c r="F106" s="92">
        <f t="shared" si="15"/>
        <v>50.67109250974171</v>
      </c>
      <c r="G106" s="92">
        <f t="shared" si="12"/>
        <v>41.05232388190592</v>
      </c>
      <c r="H106" s="132">
        <f>B106-D106</f>
        <v>683.5999999999995</v>
      </c>
      <c r="I106" s="132">
        <f t="shared" si="14"/>
        <v>1008.2999999999993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444289.49999999994</v>
      </c>
      <c r="C107" s="89">
        <f>SUM(C108:C147)-C115-C119+C148-C139-C140-C109-C112-C122-C123-C137-C131-C129</f>
        <v>564060.3999999999</v>
      </c>
      <c r="D107" s="89">
        <f>SUM(D108:D147)-D115-D119+D148-D139-D140-D109-D112-D122-D123-D137-D131-D129</f>
        <v>385855.70000000007</v>
      </c>
      <c r="E107" s="90">
        <f>D107/D150*100</f>
        <v>40.07974281203258</v>
      </c>
      <c r="F107" s="90">
        <f>D107/B107*100</f>
        <v>86.84780981769772</v>
      </c>
      <c r="G107" s="90">
        <f t="shared" si="12"/>
        <v>68.40680537048873</v>
      </c>
      <c r="H107" s="89">
        <f t="shared" si="13"/>
        <v>58433.79999999987</v>
      </c>
      <c r="I107" s="89">
        <f t="shared" si="14"/>
        <v>178204.69999999984</v>
      </c>
    </row>
    <row r="108" spans="1:9" ht="37.5">
      <c r="A108" s="31" t="s">
        <v>64</v>
      </c>
      <c r="B108" s="75">
        <v>1488.3</v>
      </c>
      <c r="C108" s="71">
        <v>2166.2</v>
      </c>
      <c r="D108" s="76">
        <f>142.7+0.9+78.6+37.4+44.2+140.1+1+20.9+25.7+0.2+2+0.6+0.4+1.8+1.5-0.1+62.6+2.1+1.9+2.9+1+9.8+0.1+52+4.8+2+1.2+2+5.2+2.6-0.1+56.3+43+2.2+0.3+6.3+0.1+46.4+1.3+6.5+1.2+1-0.1</f>
        <v>812.4999999999998</v>
      </c>
      <c r="E108" s="6">
        <f>D108/D107*100</f>
        <v>0.21057094659998532</v>
      </c>
      <c r="F108" s="6">
        <f t="shared" si="15"/>
        <v>54.59248807364106</v>
      </c>
      <c r="G108" s="6">
        <f t="shared" si="12"/>
        <v>37.50807866309666</v>
      </c>
      <c r="H108" s="65">
        <f aca="true" t="shared" si="16" ref="H108:H148">B108-D108</f>
        <v>675.8000000000002</v>
      </c>
      <c r="I108" s="65">
        <f t="shared" si="14"/>
        <v>1353.7</v>
      </c>
    </row>
    <row r="109" spans="1:9" ht="18">
      <c r="A109" s="26" t="s">
        <v>32</v>
      </c>
      <c r="B109" s="78">
        <v>770.9</v>
      </c>
      <c r="C109" s="48">
        <v>1213.5</v>
      </c>
      <c r="D109" s="79">
        <f>142.7+0.9+78.6+37.4+20.9+42.5+24.8+0.6+32.7+0.1+16.7</f>
        <v>397.9</v>
      </c>
      <c r="E109" s="1">
        <f>D109/D108*100</f>
        <v>48.9723076923077</v>
      </c>
      <c r="F109" s="1">
        <f t="shared" si="15"/>
        <v>51.61499545985212</v>
      </c>
      <c r="G109" s="1">
        <f t="shared" si="12"/>
        <v>32.78945199835187</v>
      </c>
      <c r="H109" s="48">
        <f t="shared" si="16"/>
        <v>373</v>
      </c>
      <c r="I109" s="48">
        <f t="shared" si="14"/>
        <v>815.6</v>
      </c>
    </row>
    <row r="110" spans="1:9" ht="34.5" customHeight="1">
      <c r="A110" s="16" t="s">
        <v>94</v>
      </c>
      <c r="B110" s="77">
        <v>526.9</v>
      </c>
      <c r="C110" s="65">
        <v>778.3</v>
      </c>
      <c r="D110" s="76">
        <f>26.5+20.2+7.7+37.4+7.5+38.9-0.1+38.9+12.6+45.5+9.7+1.6+37.6-0.1+56.2+1.4</f>
        <v>341.49999999999994</v>
      </c>
      <c r="E110" s="6">
        <f>D110/D107*100</f>
        <v>0.08850458863248616</v>
      </c>
      <c r="F110" s="6">
        <f>D110/B110*100</f>
        <v>64.81305750616815</v>
      </c>
      <c r="G110" s="6">
        <f t="shared" si="12"/>
        <v>43.877682127714245</v>
      </c>
      <c r="H110" s="65">
        <f t="shared" si="16"/>
        <v>185.40000000000003</v>
      </c>
      <c r="I110" s="65">
        <f t="shared" si="14"/>
        <v>436.8</v>
      </c>
    </row>
    <row r="111" spans="1:9" s="41" customFormat="1" ht="34.5" customHeight="1">
      <c r="A111" s="16" t="s">
        <v>70</v>
      </c>
      <c r="B111" s="77">
        <v>719.1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719.1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0.003343218721402845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1271.9</v>
      </c>
      <c r="C114" s="65">
        <v>1795.8</v>
      </c>
      <c r="D114" s="76">
        <f>82.2+4.4+0.2+16.8+100.8+0.1+8.3+21.3+93.2+14.5+11.8+88.2+4.6+1.1+5.8+6+2.3+112.3+12.6+0.8+1.5+0.2+0.2+72.9+5.6+10.9+0.3+11.7+5.8+0.6+108.3+0.1+3+1.3+29.1+101.7+7.2</f>
        <v>947.7000000000002</v>
      </c>
      <c r="E114" s="6">
        <f>D114/D107*100</f>
        <v>0.24560995211422304</v>
      </c>
      <c r="F114" s="6">
        <f t="shared" si="15"/>
        <v>74.51057473071782</v>
      </c>
      <c r="G114" s="6">
        <f t="shared" si="12"/>
        <v>52.77313732041431</v>
      </c>
      <c r="H114" s="65">
        <f t="shared" si="16"/>
        <v>324.19999999999993</v>
      </c>
      <c r="I114" s="65">
        <f t="shared" si="14"/>
        <v>848.0999999999998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183.5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183.5</v>
      </c>
      <c r="I116" s="57">
        <f t="shared" si="14"/>
        <v>264.5</v>
      </c>
    </row>
    <row r="117" spans="1:9" ht="37.5">
      <c r="A117" s="16" t="s">
        <v>57</v>
      </c>
      <c r="B117" s="77">
        <v>110</v>
      </c>
      <c r="C117" s="65">
        <v>110</v>
      </c>
      <c r="D117" s="76">
        <f>15</f>
        <v>15</v>
      </c>
      <c r="E117" s="6">
        <f>D117/D107*100</f>
        <v>0.003887463629538192</v>
      </c>
      <c r="F117" s="6">
        <f>D117/B117*100</f>
        <v>13.636363636363635</v>
      </c>
      <c r="G117" s="6">
        <f t="shared" si="12"/>
        <v>13.636363636363635</v>
      </c>
      <c r="H117" s="65">
        <f t="shared" si="16"/>
        <v>95</v>
      </c>
      <c r="I117" s="65">
        <f t="shared" si="14"/>
        <v>95</v>
      </c>
    </row>
    <row r="118" spans="1:9" s="2" customFormat="1" ht="18.75">
      <c r="A118" s="16" t="s">
        <v>16</v>
      </c>
      <c r="B118" s="77">
        <v>164.7</v>
      </c>
      <c r="C118" s="57">
        <f>229.6+4.4</f>
        <v>234</v>
      </c>
      <c r="D118" s="76">
        <f>17.1-0.3+0.8+0.3+21.4+4.2+0.3+17.6+4.2+0.8+0.3+16.8+0.3+2+2.2+17.7+1.1+4.1+17.7+0.8+4.3+0.3+1.6+0.3+4</f>
        <v>139.9</v>
      </c>
      <c r="E118" s="6">
        <f>D118/D107*100</f>
        <v>0.03625707745149287</v>
      </c>
      <c r="F118" s="6">
        <f t="shared" si="15"/>
        <v>84.9423193685489</v>
      </c>
      <c r="G118" s="6">
        <f t="shared" si="12"/>
        <v>59.78632478632478</v>
      </c>
      <c r="H118" s="65">
        <f t="shared" si="16"/>
        <v>24.799999999999983</v>
      </c>
      <c r="I118" s="65">
        <f t="shared" si="14"/>
        <v>94.1</v>
      </c>
    </row>
    <row r="119" spans="1:9" s="36" customFormat="1" ht="18">
      <c r="A119" s="37" t="s">
        <v>53</v>
      </c>
      <c r="B119" s="78">
        <v>120.3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73.33809864188706</v>
      </c>
      <c r="F119" s="1">
        <f t="shared" si="15"/>
        <v>85.28678304239402</v>
      </c>
      <c r="G119" s="1">
        <f t="shared" si="12"/>
        <v>58.76288659793815</v>
      </c>
      <c r="H119" s="48">
        <f t="shared" si="16"/>
        <v>17.69999999999999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136.8+10+57.4-0.1+22.6+0.1</f>
        <v>226.8</v>
      </c>
      <c r="E121" s="17">
        <f>D121/D107*100</f>
        <v>0.05877845007861746</v>
      </c>
      <c r="F121" s="6">
        <f t="shared" si="15"/>
        <v>39.880429048707576</v>
      </c>
      <c r="G121" s="6">
        <f t="shared" si="12"/>
        <v>39.880429048707576</v>
      </c>
      <c r="H121" s="65">
        <f t="shared" si="16"/>
        <v>341.90000000000003</v>
      </c>
      <c r="I121" s="65">
        <f t="shared" si="14"/>
        <v>341.90000000000003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57.4+22.6</f>
        <v>80</v>
      </c>
      <c r="E122" s="6"/>
      <c r="F122" s="1">
        <f>D122/B122*100</f>
        <v>100</v>
      </c>
      <c r="G122" s="1">
        <f t="shared" si="12"/>
        <v>100</v>
      </c>
      <c r="H122" s="48">
        <f t="shared" si="16"/>
        <v>0</v>
      </c>
      <c r="I122" s="48">
        <f t="shared" si="14"/>
        <v>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20184.8</v>
      </c>
      <c r="C124" s="57">
        <f>5096.9+1707.5+6000+16669.6</f>
        <v>29474</v>
      </c>
      <c r="D124" s="80">
        <f>3776+7.6+1124+100+14.3+14.5+0.1+20.4+3015.8+9+1156.5+27+0.1+1146.6+5.2+681+29.9+16.3+480.3+117.6+5542.8+148.8</f>
        <v>17433.8</v>
      </c>
      <c r="E124" s="17">
        <f>D124/D107*100</f>
        <v>4.518217561642862</v>
      </c>
      <c r="F124" s="6">
        <f t="shared" si="15"/>
        <v>86.37093258293369</v>
      </c>
      <c r="G124" s="6">
        <f t="shared" si="12"/>
        <v>59.14975910972382</v>
      </c>
      <c r="H124" s="65">
        <f t="shared" si="16"/>
        <v>2751</v>
      </c>
      <c r="I124" s="65">
        <f t="shared" si="14"/>
        <v>12040.2</v>
      </c>
    </row>
    <row r="125" spans="1:9" s="2" customFormat="1" ht="18.75">
      <c r="A125" s="16" t="s">
        <v>117</v>
      </c>
      <c r="B125" s="77">
        <v>825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825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v>22.9</v>
      </c>
      <c r="C127" s="57">
        <v>95.1</v>
      </c>
      <c r="D127" s="80">
        <f>4.5+17.5+0.7</f>
        <v>22.7</v>
      </c>
      <c r="E127" s="17">
        <f>D127/D107*100</f>
        <v>0.005883028292701131</v>
      </c>
      <c r="F127" s="6">
        <f t="shared" si="15"/>
        <v>99.12663755458514</v>
      </c>
      <c r="G127" s="6">
        <f t="shared" si="12"/>
        <v>23.869610935856993</v>
      </c>
      <c r="H127" s="65">
        <f t="shared" si="16"/>
        <v>0.1999999999999993</v>
      </c>
      <c r="I127" s="65">
        <f t="shared" si="14"/>
        <v>72.39999999999999</v>
      </c>
    </row>
    <row r="128" spans="1:9" s="2" customFormat="1" ht="37.5">
      <c r="A128" s="16" t="s">
        <v>73</v>
      </c>
      <c r="B128" s="77">
        <v>719.3</v>
      </c>
      <c r="C128" s="57">
        <v>983</v>
      </c>
      <c r="D128" s="80">
        <f>2.8+14.4+2.8+8.8+3.7+4+2.8+5.8+9.6+4.2+2.7+0.2+2.9+76+0.5+2.6+4.7+5.9+2.9+2.9</f>
        <v>160.2</v>
      </c>
      <c r="E128" s="17">
        <f>D128/D107*100</f>
        <v>0.04151811156346789</v>
      </c>
      <c r="F128" s="6">
        <f t="shared" si="15"/>
        <v>22.271652995968303</v>
      </c>
      <c r="G128" s="6">
        <f t="shared" si="12"/>
        <v>16.297049847405898</v>
      </c>
      <c r="H128" s="65">
        <f t="shared" si="16"/>
        <v>559.0999999999999</v>
      </c>
      <c r="I128" s="65">
        <f t="shared" si="14"/>
        <v>822.8</v>
      </c>
    </row>
    <row r="129" spans="1:9" s="36" customFormat="1" ht="18">
      <c r="A129" s="26" t="s">
        <v>110</v>
      </c>
      <c r="B129" s="78">
        <v>620.4</v>
      </c>
      <c r="C129" s="48">
        <v>851.8</v>
      </c>
      <c r="D129" s="79">
        <f>2.8+2.8-0.1+2.8+2.7+2.9+70.7+4.7+2.9+2.9</f>
        <v>95.10000000000002</v>
      </c>
      <c r="E129" s="1">
        <f>D129/D128*100</f>
        <v>59.363295880149835</v>
      </c>
      <c r="F129" s="1">
        <f>D129/B129*100</f>
        <v>15.328820116054162</v>
      </c>
      <c r="G129" s="1">
        <f t="shared" si="12"/>
        <v>11.164592627377322</v>
      </c>
      <c r="H129" s="48">
        <f t="shared" si="16"/>
        <v>525.3</v>
      </c>
      <c r="I129" s="48">
        <f t="shared" si="14"/>
        <v>756.6999999999999</v>
      </c>
    </row>
    <row r="130" spans="1:9" s="2" customFormat="1" ht="37.5">
      <c r="A130" s="16" t="s">
        <v>118</v>
      </c>
      <c r="B130" s="77">
        <v>100</v>
      </c>
      <c r="C130" s="57">
        <v>400</v>
      </c>
      <c r="D130" s="80"/>
      <c r="E130" s="17">
        <f>D130/D107*100</f>
        <v>0</v>
      </c>
      <c r="F130" s="133">
        <f t="shared" si="15"/>
        <v>0</v>
      </c>
      <c r="G130" s="6">
        <f t="shared" si="12"/>
        <v>0</v>
      </c>
      <c r="H130" s="65">
        <f t="shared" si="16"/>
        <v>100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45.4</v>
      </c>
      <c r="C132" s="57">
        <v>64.1</v>
      </c>
      <c r="D132" s="80">
        <f>0.8+2.3+1.8+1+14.8</f>
        <v>20.7</v>
      </c>
      <c r="E132" s="17">
        <f>D132/D107*100</f>
        <v>0.005364699808762705</v>
      </c>
      <c r="F132" s="6">
        <f t="shared" si="15"/>
        <v>45.59471365638766</v>
      </c>
      <c r="G132" s="6">
        <f t="shared" si="12"/>
        <v>32.293291731669264</v>
      </c>
      <c r="H132" s="65">
        <f t="shared" si="16"/>
        <v>24.7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436.2</v>
      </c>
      <c r="C134" s="57">
        <v>600</v>
      </c>
      <c r="D134" s="80">
        <f>0.8+5+0.9+2.6-0.1+0.6+0.1</f>
        <v>9.9</v>
      </c>
      <c r="E134" s="17">
        <f>D134/D107*100</f>
        <v>0.0025657259954952067</v>
      </c>
      <c r="F134" s="6">
        <f t="shared" si="15"/>
        <v>2.269601100412655</v>
      </c>
      <c r="G134" s="6">
        <f t="shared" si="12"/>
        <v>1.6500000000000001</v>
      </c>
      <c r="H134" s="65">
        <f t="shared" si="16"/>
        <v>426.3</v>
      </c>
      <c r="I134" s="65">
        <f t="shared" si="14"/>
        <v>590.1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247.5</v>
      </c>
      <c r="C136" s="57">
        <v>363.7</v>
      </c>
      <c r="D136" s="80">
        <f>5.2+0.3+2.7+0.1+0.5+0.2+13.8+39.2+5+5.9+2+6.5+0.1+32.4+5+3.9+0.2+0.7+8.4+0.1+0.1+3+4.4+0.1+5.5+21.4</f>
        <v>166.70000000000002</v>
      </c>
      <c r="E136" s="17">
        <f>D136/D107*100</f>
        <v>0.043202679136267776</v>
      </c>
      <c r="F136" s="6">
        <f t="shared" si="15"/>
        <v>67.35353535353536</v>
      </c>
      <c r="G136" s="6">
        <f>D136/C136*100</f>
        <v>45.834478966180924</v>
      </c>
      <c r="H136" s="65">
        <f t="shared" si="16"/>
        <v>80.79999999999998</v>
      </c>
      <c r="I136" s="65">
        <f t="shared" si="14"/>
        <v>196.99999999999997</v>
      </c>
    </row>
    <row r="137" spans="1:9" s="36" customFormat="1" ht="18">
      <c r="A137" s="26" t="s">
        <v>32</v>
      </c>
      <c r="B137" s="78">
        <v>138.9</v>
      </c>
      <c r="C137" s="48">
        <v>218.8</v>
      </c>
      <c r="D137" s="79">
        <f>0.3+39.3+0.2+2+32.4+0.2-0.1+5.4+0.1+5.5+21.4+0.1</f>
        <v>106.79999999999998</v>
      </c>
      <c r="E137" s="111">
        <f>D137/D136*100</f>
        <v>64.06718656268745</v>
      </c>
      <c r="F137" s="1">
        <f t="shared" si="15"/>
        <v>76.88984881209502</v>
      </c>
      <c r="G137" s="1">
        <f>D137/C137*100</f>
        <v>48.81170018281535</v>
      </c>
      <c r="H137" s="48">
        <f t="shared" si="16"/>
        <v>32.10000000000002</v>
      </c>
      <c r="I137" s="48">
        <f t="shared" si="14"/>
        <v>112.00000000000003</v>
      </c>
    </row>
    <row r="138" spans="1:9" s="2" customFormat="1" ht="18.75">
      <c r="A138" s="16" t="s">
        <v>31</v>
      </c>
      <c r="B138" s="77">
        <v>964.5</v>
      </c>
      <c r="C138" s="57">
        <f>1160.2+12+85</f>
        <v>1257.2</v>
      </c>
      <c r="D138" s="80">
        <f>26.5+42.3+30.1+3.6+8.6+42.3+0.1+5.7+31.9+5.2+42.5+11.7+55+45.4+28.3+17.8+9.6+33.4+0.9+26.8+46.9+38.1-0.1+30.6+29.1+43.2+28.9+29.5+0.1+43.5</f>
        <v>757.5</v>
      </c>
      <c r="E138" s="17">
        <f>D138/D107*100</f>
        <v>0.1963169132916787</v>
      </c>
      <c r="F138" s="6">
        <f t="shared" si="15"/>
        <v>78.53810264385692</v>
      </c>
      <c r="G138" s="6">
        <f t="shared" si="12"/>
        <v>60.25294304804327</v>
      </c>
      <c r="H138" s="65">
        <f t="shared" si="16"/>
        <v>207</v>
      </c>
      <c r="I138" s="65">
        <f t="shared" si="14"/>
        <v>499.70000000000005</v>
      </c>
    </row>
    <row r="139" spans="1:9" s="36" customFormat="1" ht="18">
      <c r="A139" s="37" t="s">
        <v>53</v>
      </c>
      <c r="B139" s="78">
        <v>662.6</v>
      </c>
      <c r="C139" s="48">
        <v>886.2</v>
      </c>
      <c r="D139" s="79">
        <f>26.5+39.8+30.1+42.1+0.1+31.9+40.5+11.2+38.1+30.1+28.3+17.4+33.4+8.9+24.2+37.9+28.8+43.2+29.4+43.5-0.1</f>
        <v>585.3</v>
      </c>
      <c r="E139" s="1">
        <f>D139/D138*100</f>
        <v>77.26732673267325</v>
      </c>
      <c r="F139" s="1">
        <f aca="true" t="shared" si="17" ref="F139:F147">D139/B139*100</f>
        <v>88.33383640205251</v>
      </c>
      <c r="G139" s="1">
        <f t="shared" si="12"/>
        <v>66.04603926878806</v>
      </c>
      <c r="H139" s="48">
        <f t="shared" si="16"/>
        <v>77.30000000000007</v>
      </c>
      <c r="I139" s="48">
        <f t="shared" si="14"/>
        <v>300.9000000000001</v>
      </c>
    </row>
    <row r="140" spans="1:9" s="36" customFormat="1" ht="18">
      <c r="A140" s="26" t="s">
        <v>32</v>
      </c>
      <c r="B140" s="78">
        <v>23.5</v>
      </c>
      <c r="C140" s="48">
        <v>39.3</v>
      </c>
      <c r="D140" s="79">
        <f>8.6+0.2+0.3+5.1+0.4+5.3+0.3+0.3+0.2+0.3</f>
        <v>21</v>
      </c>
      <c r="E140" s="1">
        <f>D140/D138*100</f>
        <v>2.7722772277227725</v>
      </c>
      <c r="F140" s="1">
        <f t="shared" si="17"/>
        <v>89.36170212765957</v>
      </c>
      <c r="G140" s="1">
        <f>D140/C140*100</f>
        <v>53.43511450381679</v>
      </c>
      <c r="H140" s="48">
        <f t="shared" si="16"/>
        <v>2.5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0.08941166347937841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v>31185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</f>
        <v>25469.399999999998</v>
      </c>
      <c r="E143" s="17">
        <f>D143/D107*100</f>
        <v>6.600757744410668</v>
      </c>
      <c r="F143" s="107">
        <f t="shared" si="17"/>
        <v>81.67195767195766</v>
      </c>
      <c r="G143" s="6">
        <f t="shared" si="12"/>
        <v>64.07928205360444</v>
      </c>
      <c r="H143" s="65">
        <f t="shared" si="16"/>
        <v>5715.600000000002</v>
      </c>
      <c r="I143" s="65">
        <f t="shared" si="14"/>
        <v>14277.3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2247.6</v>
      </c>
      <c r="C145" s="57">
        <f>6504.8-4188</f>
        <v>2316.8</v>
      </c>
      <c r="D145" s="80">
        <f>2094</f>
        <v>2094</v>
      </c>
      <c r="E145" s="17">
        <f>D145/D107*100</f>
        <v>0.5426899226835316</v>
      </c>
      <c r="F145" s="107">
        <f t="shared" si="17"/>
        <v>93.16604378003204</v>
      </c>
      <c r="G145" s="6">
        <f t="shared" si="12"/>
        <v>90.38328729281767</v>
      </c>
      <c r="H145" s="65">
        <f t="shared" si="16"/>
        <v>153.5999999999999</v>
      </c>
      <c r="I145" s="65">
        <f t="shared" si="14"/>
        <v>222.80000000000018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0.15619828863484456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v>359509.3</v>
      </c>
      <c r="C147" s="57">
        <f>298394.8+81857.1-188.4+8192+4136.9-39.9+58207.6+613.8</f>
        <v>451173.89999999997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</f>
        <v>316942.4</v>
      </c>
      <c r="E147" s="17">
        <f>D147/D107*100</f>
        <v>82.14013684390304</v>
      </c>
      <c r="F147" s="6">
        <f t="shared" si="17"/>
        <v>88.15972215461466</v>
      </c>
      <c r="G147" s="6">
        <f t="shared" si="12"/>
        <v>70.24838981155604</v>
      </c>
      <c r="H147" s="65">
        <f t="shared" si="16"/>
        <v>42566.899999999965</v>
      </c>
      <c r="I147" s="65">
        <f t="shared" si="14"/>
        <v>134231.49999999994</v>
      </c>
      <c r="K147" s="99"/>
      <c r="L147" s="42"/>
    </row>
    <row r="148" spans="1:12" s="2" customFormat="1" ht="18.75">
      <c r="A148" s="16" t="s">
        <v>104</v>
      </c>
      <c r="B148" s="77">
        <v>21751.2</v>
      </c>
      <c r="C148" s="57">
        <v>29001.6</v>
      </c>
      <c r="D148" s="80">
        <f>805.6+805.6+805.6+805.6+805.6+805.6+805.6+805.6+805.6+805.6+805.6+805.6+805.6+805.6+805.6+805.6+805.6+805.6+805.6+805.6+805.6+805.6+805.6+805.6</f>
        <v>19334.4</v>
      </c>
      <c r="E148" s="17">
        <f>D148/D107*100</f>
        <v>5.010785119929548</v>
      </c>
      <c r="F148" s="6">
        <f t="shared" si="15"/>
        <v>88.8888888888889</v>
      </c>
      <c r="G148" s="6">
        <f t="shared" si="12"/>
        <v>66.66666666666667</v>
      </c>
      <c r="H148" s="65">
        <f t="shared" si="16"/>
        <v>2416.7999999999993</v>
      </c>
      <c r="I148" s="65">
        <f t="shared" si="14"/>
        <v>9667.199999999997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453967.19999999995</v>
      </c>
      <c r="C149" s="81">
        <f>C43+C69+C72+C77+C79+C87+C102+C107+C100+C84+C98</f>
        <v>581141.0999999999</v>
      </c>
      <c r="D149" s="57">
        <f>D43+D69+D72+D77+D79+D87+D102+D107+D100+D84+D98</f>
        <v>392093.30000000005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1145210.2999999998</v>
      </c>
      <c r="C150" s="51">
        <f>C6+C18+C33+C43+C51+C59+C69+C72+C77+C79+C87+C90+C95+C102+C107+C100+C84+C98+C45</f>
        <v>1503920.6999999997</v>
      </c>
      <c r="D150" s="51">
        <f>D6+D18+D33+D43+D51+D59+D69+D72+D77+D79+D87+D90+D95+D102+D107+D100+D84+D98+D45</f>
        <v>962720.0000000001</v>
      </c>
      <c r="E150" s="35">
        <v>100</v>
      </c>
      <c r="F150" s="3">
        <f>D150/B150*100</f>
        <v>84.06490930093803</v>
      </c>
      <c r="G150" s="3">
        <f aca="true" t="shared" si="18" ref="G150:G156">D150/C150*100</f>
        <v>64.01401350483442</v>
      </c>
      <c r="H150" s="51">
        <f aca="true" t="shared" si="19" ref="H150:H156">B150-D150</f>
        <v>182490.2999999997</v>
      </c>
      <c r="I150" s="51">
        <f aca="true" t="shared" si="20" ref="I150:I156">C150-D150</f>
        <v>541200.6999999996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454920.7</v>
      </c>
      <c r="C151" s="64">
        <f>C8+C20+C34+C52+C60+C91+C115+C119+C46+C139+C131+C103</f>
        <v>608055.8999999997</v>
      </c>
      <c r="D151" s="64">
        <f>D8+D20+D34+D52+D60+D91+D115+D119+D46+D139+D131+D103</f>
        <v>397741.59999999986</v>
      </c>
      <c r="E151" s="6">
        <f>D151/D150*100</f>
        <v>41.31435931527337</v>
      </c>
      <c r="F151" s="6">
        <f aca="true" t="shared" si="21" ref="F151:F162">D151/B151*100</f>
        <v>87.43097423353122</v>
      </c>
      <c r="G151" s="6">
        <f t="shared" si="18"/>
        <v>65.41201228373905</v>
      </c>
      <c r="H151" s="65">
        <f t="shared" si="19"/>
        <v>57179.10000000015</v>
      </c>
      <c r="I151" s="76">
        <f t="shared" si="20"/>
        <v>210314.2999999998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77515.3</v>
      </c>
      <c r="C152" s="65">
        <f>C11+C23+C36+C55+C62+C92+C49+C140+C109+C112+C96+C137</f>
        <v>121928.70000000001</v>
      </c>
      <c r="D152" s="65">
        <f>D11+D23+D36+D55+D62+D92+D49+D140+D109+D112+D96+D137</f>
        <v>54053.5</v>
      </c>
      <c r="E152" s="6">
        <f>D152/D150*100</f>
        <v>5.614664700016618</v>
      </c>
      <c r="F152" s="6">
        <f t="shared" si="21"/>
        <v>69.7326850312132</v>
      </c>
      <c r="G152" s="6">
        <f t="shared" si="18"/>
        <v>44.33205635752698</v>
      </c>
      <c r="H152" s="65">
        <f t="shared" si="19"/>
        <v>23461.800000000003</v>
      </c>
      <c r="I152" s="76">
        <f t="shared" si="20"/>
        <v>67875.20000000001</v>
      </c>
      <c r="K152" s="43"/>
      <c r="L152" s="98"/>
    </row>
    <row r="153" spans="1:12" ht="18.75">
      <c r="A153" s="20" t="s">
        <v>1</v>
      </c>
      <c r="B153" s="64">
        <f>B22+B10+B54+B48+B61+B35+B123</f>
        <v>24808.399999999998</v>
      </c>
      <c r="C153" s="64">
        <f>C22+C10+C54+C48+C61+C35+C123</f>
        <v>31721.800000000003</v>
      </c>
      <c r="D153" s="64">
        <f>D22+D10+D54+D48+D61+D35+D123</f>
        <v>18688.800000000007</v>
      </c>
      <c r="E153" s="6">
        <f>D153/D150*100</f>
        <v>1.9412497922552772</v>
      </c>
      <c r="F153" s="6">
        <f t="shared" si="21"/>
        <v>75.33254865287567</v>
      </c>
      <c r="G153" s="6">
        <f t="shared" si="18"/>
        <v>58.914689582558374</v>
      </c>
      <c r="H153" s="65">
        <f t="shared" si="19"/>
        <v>6119.599999999991</v>
      </c>
      <c r="I153" s="76">
        <f t="shared" si="20"/>
        <v>13032.999999999996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22084.200000000004</v>
      </c>
      <c r="C154" s="64">
        <f>C12+C24+C104+C63+C38+C93+C129+C56</f>
        <v>29372.4</v>
      </c>
      <c r="D154" s="64">
        <f>D12+D24+D104+D63+D38+D93+D129+D56</f>
        <v>14353.6</v>
      </c>
      <c r="E154" s="6">
        <f>D154/D150*100</f>
        <v>1.4909423300648161</v>
      </c>
      <c r="F154" s="6">
        <f t="shared" si="21"/>
        <v>64.9948832196774</v>
      </c>
      <c r="G154" s="6">
        <f t="shared" si="18"/>
        <v>48.867644455339025</v>
      </c>
      <c r="H154" s="65">
        <f t="shared" si="19"/>
        <v>7730.600000000004</v>
      </c>
      <c r="I154" s="76">
        <f t="shared" si="20"/>
        <v>15018.800000000001</v>
      </c>
      <c r="K154" s="43"/>
      <c r="L154" s="98"/>
    </row>
    <row r="155" spans="1:12" ht="18.75">
      <c r="A155" s="20" t="s">
        <v>2</v>
      </c>
      <c r="B155" s="64">
        <f>B9+B21+B47+B53+B122</f>
        <v>18891.2</v>
      </c>
      <c r="C155" s="64">
        <f>C9+C21+C47+C53+C122</f>
        <v>22288.699999999997</v>
      </c>
      <c r="D155" s="64">
        <f>D9+D21+D47+D53+D122</f>
        <v>14562.4</v>
      </c>
      <c r="E155" s="6">
        <f>D155/D150*100</f>
        <v>1.5126308791756689</v>
      </c>
      <c r="F155" s="6">
        <f t="shared" si="21"/>
        <v>77.0856271703227</v>
      </c>
      <c r="G155" s="6">
        <f t="shared" si="18"/>
        <v>65.3353493025614</v>
      </c>
      <c r="H155" s="65">
        <f t="shared" si="19"/>
        <v>4328.800000000001</v>
      </c>
      <c r="I155" s="76">
        <f t="shared" si="20"/>
        <v>7726.299999999997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546990.4999999999</v>
      </c>
      <c r="C156" s="64">
        <f>C150-C151-C152-C153-C154-C155</f>
        <v>690553.2000000001</v>
      </c>
      <c r="D156" s="64">
        <f>D150-D151-D152-D153-D154-D155</f>
        <v>463320.10000000027</v>
      </c>
      <c r="E156" s="6">
        <f>D156/D150*100</f>
        <v>48.12615298321425</v>
      </c>
      <c r="F156" s="6">
        <f t="shared" si="21"/>
        <v>84.70350033501502</v>
      </c>
      <c r="G156" s="40">
        <f t="shared" si="18"/>
        <v>67.09404865548379</v>
      </c>
      <c r="H156" s="65">
        <f t="shared" si="19"/>
        <v>83670.39999999962</v>
      </c>
      <c r="I156" s="65">
        <f t="shared" si="20"/>
        <v>227233.0999999998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35078.4-3580</f>
        <v>31498.4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33+3.1+31.8+118.6+8.5+18.3+41+591.6+0.1+448.4+20+14.4+41.3+31.5+458.7+42.9+92.6+54.3+185.1+276.9+138.9+420.8+189.7+128.4+1374+1199.8+948.5+463.6+2.3+2.2+200+677.2-390.9+28.9+159.7+371.4+9.6+31.3+19.2+239.7+1+60+59.5+69+4.8+207.4+131.8+36.3+6.1</f>
        <v>9302.300000000001</v>
      </c>
      <c r="E158" s="14"/>
      <c r="F158" s="6">
        <f t="shared" si="21"/>
        <v>29.532611180250427</v>
      </c>
      <c r="G158" s="6">
        <f aca="true" t="shared" si="22" ref="G158:G167">D158/C158*100</f>
        <v>22.462921196373987</v>
      </c>
      <c r="H158" s="65">
        <f>B158-D158</f>
        <v>22196.1</v>
      </c>
      <c r="I158" s="65">
        <f aca="true" t="shared" si="23" ref="I158:I167">C158-D158</f>
        <v>32109.499999999993</v>
      </c>
      <c r="K158" s="43"/>
      <c r="L158" s="43"/>
    </row>
    <row r="159" spans="1:12" ht="18.75">
      <c r="A159" s="20" t="s">
        <v>22</v>
      </c>
      <c r="B159" s="85">
        <v>45935.7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100+49.9+293.6+174.2+159.5+52+404.4+89.3+150+694.7+650+637.7+888.1+1549.4+1150.4+28.8+73+685+233.1+79.4+200+254.7+419.8+99.5+57.1+1.6+2862.1+4096.9+63.4+185.1+178.3+1864.4+0.1+67.7+62.8+1037.9+2.3+1408.4+110.5+74.8+4.2+339.9+777.7+187.4+329</f>
        <v>22828.100000000006</v>
      </c>
      <c r="E159" s="6"/>
      <c r="F159" s="6">
        <f t="shared" si="21"/>
        <v>49.69577039209157</v>
      </c>
      <c r="G159" s="6">
        <f t="shared" si="22"/>
        <v>40.71945474555804</v>
      </c>
      <c r="H159" s="65">
        <f aca="true" t="shared" si="24" ref="H159:H166">B159-D159</f>
        <v>23107.59999999999</v>
      </c>
      <c r="I159" s="65">
        <f t="shared" si="23"/>
        <v>33233.799999999996</v>
      </c>
      <c r="K159" s="43"/>
      <c r="L159" s="43"/>
    </row>
    <row r="160" spans="1:12" ht="18.75">
      <c r="A160" s="20" t="s">
        <v>58</v>
      </c>
      <c r="B160" s="85">
        <f>297236.8-6716.5</f>
        <v>290520.3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+2735.2+296+599.2+2541+1+1817.6+100.2</f>
        <v>158883.60000000003</v>
      </c>
      <c r="E160" s="6"/>
      <c r="F160" s="6">
        <f t="shared" si="21"/>
        <v>54.689328077934675</v>
      </c>
      <c r="G160" s="6">
        <f t="shared" si="22"/>
        <v>42.55581976754465</v>
      </c>
      <c r="H160" s="65">
        <f t="shared" si="24"/>
        <v>131636.69999999995</v>
      </c>
      <c r="I160" s="65">
        <f t="shared" si="23"/>
        <v>214469.8</v>
      </c>
      <c r="K160" s="43"/>
      <c r="L160" s="43"/>
    </row>
    <row r="161" spans="1:12" ht="37.5">
      <c r="A161" s="20" t="s">
        <v>67</v>
      </c>
      <c r="B161" s="85">
        <v>4923.4</v>
      </c>
      <c r="C161" s="64">
        <v>4923.4</v>
      </c>
      <c r="D161" s="64">
        <f>1477+1723.2</f>
        <v>3200.2</v>
      </c>
      <c r="E161" s="6"/>
      <c r="F161" s="6">
        <f t="shared" si="21"/>
        <v>64.99979688832921</v>
      </c>
      <c r="G161" s="6">
        <f t="shared" si="22"/>
        <v>64.99979688832921</v>
      </c>
      <c r="H161" s="65">
        <f t="shared" si="24"/>
        <v>1723.1999999999998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11805.1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49.9+127.8+39.6+53.8+398.2+8.4+32.5+231.9+89.8+103.6+52.4+19.2+179.2+118+109.5+32.3+81.3+0.1+165.4+333.7+47.5+192.2+86.9+18.7+23.4+29.9+20+910.7+69.7+74+286.2+38+40.3+12.5+359+340.9+125.3+186.9+37.9+212+48.2+98.7+68.2+138.6+190+256.6+149.7+7.5+30</f>
        <v>6326.0999999999985</v>
      </c>
      <c r="E162" s="17"/>
      <c r="F162" s="6">
        <f t="shared" si="21"/>
        <v>53.58785609609404</v>
      </c>
      <c r="G162" s="6">
        <f t="shared" si="22"/>
        <v>46.23632337141227</v>
      </c>
      <c r="H162" s="65">
        <f t="shared" si="24"/>
        <v>5479.000000000002</v>
      </c>
      <c r="I162" s="65">
        <f t="shared" si="23"/>
        <v>7356.000000000002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1572.4</v>
      </c>
      <c r="C164" s="64">
        <v>2118.3</v>
      </c>
      <c r="D164" s="64">
        <f>394.4+14+15.3+287.2</f>
        <v>710.9</v>
      </c>
      <c r="E164" s="17"/>
      <c r="F164" s="6">
        <f>D164/B164*100</f>
        <v>45.21114220300178</v>
      </c>
      <c r="G164" s="6">
        <f t="shared" si="22"/>
        <v>33.559930132653534</v>
      </c>
      <c r="H164" s="65">
        <f t="shared" si="24"/>
        <v>861.5000000000001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1531465.5999999996</v>
      </c>
      <c r="C167" s="87">
        <f>C150+C158+C162+C163+C159+C166+C165+C160+C164+C161</f>
        <v>1995471.5999999999</v>
      </c>
      <c r="D167" s="87">
        <f>D150+D158+D162+D163+D159+D166+D165+D160+D164+D161</f>
        <v>1163971.2</v>
      </c>
      <c r="E167" s="22"/>
      <c r="F167" s="3">
        <f>D167/B167*100</f>
        <v>76.00374438707604</v>
      </c>
      <c r="G167" s="3">
        <f t="shared" si="22"/>
        <v>58.33063221746679</v>
      </c>
      <c r="H167" s="51">
        <f>B167-D167</f>
        <v>367494.3999999997</v>
      </c>
      <c r="I167" s="51">
        <f t="shared" si="23"/>
        <v>831500.3999999999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962720.0000000001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962720.0000000001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2016-08-31T14:21:06Z</cp:lastPrinted>
  <dcterms:created xsi:type="dcterms:W3CDTF">2000-06-20T04:48:00Z</dcterms:created>
  <dcterms:modified xsi:type="dcterms:W3CDTF">2016-09-01T05:33:28Z</dcterms:modified>
  <cp:category/>
  <cp:version/>
  <cp:contentType/>
  <cp:contentStatus/>
</cp:coreProperties>
</file>